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"/>
    </mc:Choice>
  </mc:AlternateContent>
  <xr:revisionPtr revIDLastSave="112" documentId="8_{28778BBE-F239-465B-B12A-F4C5490D5F4F}" xr6:coauthVersionLast="47" xr6:coauthVersionMax="47" xr10:uidLastSave="{F263F10E-0D10-4E8C-B7FB-3EABAAC3DB06}"/>
  <bookViews>
    <workbookView xWindow="-25320" yWindow="1725" windowWidth="25440" windowHeight="15390" tabRatio="761" firstSheet="2" activeTab="29" xr2:uid="{00000000-000D-0000-FFFF-FFFF00000000}"/>
  </bookViews>
  <sheets>
    <sheet name="Sc" sheetId="6" r:id="rId1"/>
    <sheet name="Ti" sheetId="7" r:id="rId2"/>
    <sheet name="V" sheetId="8" r:id="rId3"/>
    <sheet name="Cr" sheetId="9" r:id="rId4"/>
    <sheet name="Mn" sheetId="10" r:id="rId5"/>
    <sheet name="Fe" sheetId="1" r:id="rId6"/>
    <sheet name="Co" sheetId="11" r:id="rId7"/>
    <sheet name="Ni" sheetId="4" r:id="rId8"/>
    <sheet name="Cu" sheetId="12" r:id="rId9"/>
    <sheet name="Zn" sheetId="13" r:id="rId10"/>
    <sheet name="Y" sheetId="14" r:id="rId11"/>
    <sheet name="Zr" sheetId="15" r:id="rId12"/>
    <sheet name="Nb" sheetId="16" r:id="rId13"/>
    <sheet name="Mo" sheetId="17" r:id="rId14"/>
    <sheet name="Tc" sheetId="18" r:id="rId15"/>
    <sheet name="Ru" sheetId="2" r:id="rId16"/>
    <sheet name="Rh" sheetId="19" r:id="rId17"/>
    <sheet name="Pd" sheetId="20" r:id="rId18"/>
    <sheet name="Ag" sheetId="21" r:id="rId19"/>
    <sheet name="Cd" sheetId="22" r:id="rId20"/>
    <sheet name="La" sheetId="23" r:id="rId21"/>
    <sheet name="Hf" sheetId="24" r:id="rId22"/>
    <sheet name="Ta" sheetId="25" r:id="rId23"/>
    <sheet name="W" sheetId="26" r:id="rId24"/>
    <sheet name="Re" sheetId="27" r:id="rId25"/>
    <sheet name="Os" sheetId="28" r:id="rId26"/>
    <sheet name="Ir" sheetId="29" r:id="rId27"/>
    <sheet name="Pt" sheetId="5" r:id="rId28"/>
    <sheet name="Au" sheetId="3" r:id="rId29"/>
    <sheet name="Hg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A210" i="1"/>
  <c r="B210" i="1"/>
  <c r="C210" i="1"/>
  <c r="D210" i="1"/>
  <c r="E210" i="1"/>
  <c r="F210" i="1"/>
  <c r="G210" i="1"/>
  <c r="H210" i="1"/>
  <c r="I210" i="1"/>
  <c r="J210" i="1"/>
  <c r="A211" i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A213" i="1"/>
  <c r="B213" i="1"/>
  <c r="C213" i="1"/>
  <c r="D213" i="1"/>
  <c r="E213" i="1"/>
  <c r="F213" i="1"/>
  <c r="G213" i="1"/>
  <c r="H213" i="1"/>
  <c r="I213" i="1"/>
  <c r="J213" i="1"/>
  <c r="A214" i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A216" i="1"/>
  <c r="B216" i="1"/>
  <c r="C216" i="1"/>
  <c r="D216" i="1"/>
  <c r="E216" i="1"/>
  <c r="F216" i="1"/>
  <c r="G216" i="1"/>
  <c r="H216" i="1"/>
  <c r="I216" i="1"/>
  <c r="J216" i="1"/>
  <c r="A217" i="1"/>
  <c r="B217" i="1"/>
  <c r="C217" i="1"/>
  <c r="D217" i="1"/>
  <c r="E217" i="1"/>
  <c r="F217" i="1"/>
  <c r="G217" i="1"/>
  <c r="H217" i="1"/>
  <c r="I217" i="1"/>
  <c r="J217" i="1"/>
  <c r="A218" i="1"/>
  <c r="B218" i="1"/>
  <c r="C218" i="1"/>
  <c r="D218" i="1"/>
  <c r="E218" i="1"/>
  <c r="F218" i="1"/>
  <c r="G218" i="1"/>
  <c r="H218" i="1"/>
  <c r="I218" i="1"/>
  <c r="J218" i="1"/>
  <c r="A219" i="1"/>
  <c r="B219" i="1"/>
  <c r="C219" i="1"/>
  <c r="D219" i="1"/>
  <c r="E219" i="1"/>
  <c r="F219" i="1"/>
  <c r="G219" i="1"/>
  <c r="H219" i="1"/>
  <c r="I219" i="1"/>
  <c r="J219" i="1"/>
  <c r="A220" i="1"/>
  <c r="B220" i="1"/>
  <c r="C220" i="1"/>
  <c r="D220" i="1"/>
  <c r="E220" i="1"/>
  <c r="F220" i="1"/>
  <c r="G220" i="1"/>
  <c r="H220" i="1"/>
  <c r="I220" i="1"/>
  <c r="J220" i="1"/>
  <c r="A221" i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A223" i="1"/>
  <c r="B223" i="1"/>
  <c r="C223" i="1"/>
  <c r="D223" i="1"/>
  <c r="E223" i="1"/>
  <c r="F223" i="1"/>
  <c r="G223" i="1"/>
  <c r="H223" i="1"/>
  <c r="I223" i="1"/>
  <c r="J223" i="1"/>
  <c r="A224" i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A226" i="1"/>
  <c r="B226" i="1"/>
  <c r="C226" i="1"/>
  <c r="D226" i="1"/>
  <c r="E226" i="1"/>
  <c r="F226" i="1"/>
  <c r="G226" i="1"/>
  <c r="H226" i="1"/>
  <c r="I226" i="1"/>
  <c r="J226" i="1"/>
  <c r="A227" i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A229" i="1"/>
  <c r="B229" i="1"/>
  <c r="C229" i="1"/>
  <c r="D229" i="1"/>
  <c r="E229" i="1"/>
  <c r="F229" i="1"/>
  <c r="G229" i="1"/>
  <c r="H229" i="1"/>
  <c r="I229" i="1"/>
  <c r="J229" i="1"/>
  <c r="A230" i="1"/>
  <c r="B230" i="1"/>
  <c r="C230" i="1"/>
  <c r="D230" i="1"/>
  <c r="E230" i="1"/>
  <c r="F230" i="1"/>
  <c r="G230" i="1"/>
  <c r="H230" i="1"/>
  <c r="I230" i="1"/>
  <c r="J230" i="1"/>
  <c r="A231" i="1"/>
  <c r="B231" i="1"/>
  <c r="C231" i="1"/>
  <c r="D231" i="1"/>
  <c r="E231" i="1"/>
  <c r="F231" i="1"/>
  <c r="G231" i="1"/>
  <c r="H231" i="1"/>
  <c r="I231" i="1"/>
  <c r="J231" i="1"/>
  <c r="A232" i="1"/>
  <c r="B232" i="1"/>
  <c r="C232" i="1"/>
  <c r="D232" i="1"/>
  <c r="E232" i="1"/>
  <c r="F232" i="1"/>
  <c r="G232" i="1"/>
  <c r="H232" i="1"/>
  <c r="I232" i="1"/>
  <c r="J232" i="1"/>
  <c r="A233" i="1"/>
  <c r="B233" i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A235" i="1"/>
  <c r="B235" i="1"/>
  <c r="C235" i="1"/>
  <c r="D235" i="1"/>
  <c r="E235" i="1"/>
  <c r="F235" i="1"/>
  <c r="G235" i="1"/>
  <c r="H235" i="1"/>
  <c r="I235" i="1"/>
  <c r="J235" i="1"/>
  <c r="A236" i="1"/>
  <c r="B236" i="1"/>
  <c r="C236" i="1"/>
  <c r="D236" i="1"/>
  <c r="E236" i="1"/>
  <c r="F236" i="1"/>
  <c r="G236" i="1"/>
  <c r="H236" i="1"/>
  <c r="I236" i="1"/>
  <c r="J236" i="1"/>
  <c r="A237" i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A239" i="1"/>
  <c r="B239" i="1"/>
  <c r="C239" i="1"/>
  <c r="D239" i="1"/>
  <c r="E239" i="1"/>
  <c r="F239" i="1"/>
  <c r="G239" i="1"/>
  <c r="H239" i="1"/>
  <c r="I239" i="1"/>
  <c r="J239" i="1"/>
  <c r="A240" i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A242" i="1"/>
  <c r="B242" i="1"/>
  <c r="C242" i="1"/>
  <c r="D242" i="1"/>
  <c r="E242" i="1"/>
  <c r="F242" i="1"/>
  <c r="G242" i="1"/>
  <c r="H242" i="1"/>
  <c r="I242" i="1"/>
  <c r="J242" i="1"/>
  <c r="A243" i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A245" i="1"/>
  <c r="B245" i="1"/>
  <c r="C245" i="1"/>
  <c r="D245" i="1"/>
  <c r="E245" i="1"/>
  <c r="F245" i="1"/>
  <c r="G245" i="1"/>
  <c r="H245" i="1"/>
  <c r="I245" i="1"/>
  <c r="J245" i="1"/>
  <c r="A246" i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A248" i="1"/>
  <c r="B248" i="1"/>
  <c r="C248" i="1"/>
  <c r="D248" i="1"/>
  <c r="E248" i="1"/>
  <c r="F248" i="1"/>
  <c r="G248" i="1"/>
  <c r="H248" i="1"/>
  <c r="I248" i="1"/>
  <c r="J248" i="1"/>
  <c r="A249" i="1"/>
  <c r="B249" i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I250" i="1"/>
  <c r="J250" i="1"/>
  <c r="A251" i="1"/>
  <c r="B251" i="1"/>
  <c r="C251" i="1"/>
  <c r="D251" i="1"/>
  <c r="E251" i="1"/>
  <c r="F251" i="1"/>
  <c r="G251" i="1"/>
  <c r="H251" i="1"/>
  <c r="I251" i="1"/>
  <c r="J251" i="1"/>
  <c r="A252" i="1"/>
  <c r="B252" i="1"/>
  <c r="C252" i="1"/>
  <c r="D252" i="1"/>
  <c r="E252" i="1"/>
  <c r="F252" i="1"/>
  <c r="G252" i="1"/>
  <c r="H252" i="1"/>
  <c r="I252" i="1"/>
  <c r="J252" i="1"/>
  <c r="A253" i="1"/>
  <c r="B253" i="1"/>
  <c r="C253" i="1"/>
  <c r="D253" i="1"/>
  <c r="E253" i="1"/>
  <c r="F253" i="1"/>
  <c r="G253" i="1"/>
  <c r="H253" i="1"/>
  <c r="I253" i="1"/>
  <c r="J253" i="1"/>
  <c r="A254" i="1"/>
  <c r="B254" i="1"/>
  <c r="C254" i="1"/>
  <c r="D254" i="1"/>
  <c r="E254" i="1"/>
  <c r="F254" i="1"/>
  <c r="G254" i="1"/>
  <c r="H254" i="1"/>
  <c r="I254" i="1"/>
  <c r="J254" i="1"/>
  <c r="A255" i="1"/>
  <c r="B255" i="1"/>
  <c r="C255" i="1"/>
  <c r="D255" i="1"/>
  <c r="E255" i="1"/>
  <c r="F255" i="1"/>
  <c r="G255" i="1"/>
  <c r="H255" i="1"/>
  <c r="I255" i="1"/>
  <c r="J255" i="1"/>
  <c r="A256" i="1"/>
  <c r="B256" i="1"/>
  <c r="C256" i="1"/>
  <c r="D256" i="1"/>
  <c r="E256" i="1"/>
  <c r="F256" i="1"/>
  <c r="G256" i="1"/>
  <c r="H256" i="1"/>
  <c r="I256" i="1"/>
  <c r="J256" i="1"/>
  <c r="A257" i="1"/>
  <c r="B257" i="1"/>
  <c r="C257" i="1"/>
  <c r="D257" i="1"/>
  <c r="E257" i="1"/>
  <c r="F257" i="1"/>
  <c r="G257" i="1"/>
  <c r="H257" i="1"/>
  <c r="I257" i="1"/>
  <c r="J257" i="1"/>
  <c r="A258" i="1"/>
  <c r="B258" i="1"/>
  <c r="C258" i="1"/>
  <c r="D258" i="1"/>
  <c r="E258" i="1"/>
  <c r="F258" i="1"/>
  <c r="G258" i="1"/>
  <c r="H258" i="1"/>
  <c r="I258" i="1"/>
  <c r="J258" i="1"/>
  <c r="A259" i="1"/>
  <c r="B259" i="1"/>
  <c r="C259" i="1"/>
  <c r="D259" i="1"/>
  <c r="E259" i="1"/>
  <c r="F259" i="1"/>
  <c r="G259" i="1"/>
  <c r="H259" i="1"/>
  <c r="I259" i="1"/>
  <c r="J259" i="1"/>
  <c r="A260" i="1"/>
  <c r="B260" i="1"/>
  <c r="C260" i="1"/>
  <c r="D260" i="1"/>
  <c r="E260" i="1"/>
  <c r="F260" i="1"/>
  <c r="G260" i="1"/>
  <c r="H260" i="1"/>
  <c r="I260" i="1"/>
  <c r="J260" i="1"/>
  <c r="A261" i="1"/>
  <c r="B261" i="1"/>
  <c r="C261" i="1"/>
  <c r="D261" i="1"/>
  <c r="E261" i="1"/>
  <c r="F261" i="1"/>
  <c r="G261" i="1"/>
  <c r="H261" i="1"/>
  <c r="I261" i="1"/>
  <c r="J261" i="1"/>
  <c r="A262" i="1"/>
  <c r="B262" i="1"/>
  <c r="C262" i="1"/>
  <c r="D262" i="1"/>
  <c r="E262" i="1"/>
  <c r="F262" i="1"/>
  <c r="G262" i="1"/>
  <c r="H262" i="1"/>
  <c r="I262" i="1"/>
  <c r="J262" i="1"/>
  <c r="A263" i="1"/>
  <c r="B263" i="1"/>
  <c r="C263" i="1"/>
  <c r="D263" i="1"/>
  <c r="E263" i="1"/>
  <c r="F263" i="1"/>
  <c r="G263" i="1"/>
  <c r="H263" i="1"/>
  <c r="I263" i="1"/>
  <c r="J263" i="1"/>
  <c r="A264" i="1"/>
  <c r="B264" i="1"/>
  <c r="C264" i="1"/>
  <c r="D264" i="1"/>
  <c r="E264" i="1"/>
  <c r="F264" i="1"/>
  <c r="G264" i="1"/>
  <c r="H264" i="1"/>
  <c r="I264" i="1"/>
  <c r="J264" i="1"/>
  <c r="A265" i="1"/>
  <c r="B265" i="1"/>
  <c r="C265" i="1"/>
  <c r="D265" i="1"/>
  <c r="E265" i="1"/>
  <c r="F265" i="1"/>
  <c r="G265" i="1"/>
  <c r="H265" i="1"/>
  <c r="I265" i="1"/>
  <c r="J265" i="1"/>
  <c r="A266" i="1"/>
  <c r="B266" i="1"/>
  <c r="C266" i="1"/>
  <c r="D266" i="1"/>
  <c r="E266" i="1"/>
  <c r="F266" i="1"/>
  <c r="G266" i="1"/>
  <c r="H266" i="1"/>
  <c r="I266" i="1"/>
  <c r="J266" i="1"/>
  <c r="A267" i="1"/>
  <c r="B267" i="1"/>
  <c r="C267" i="1"/>
  <c r="D267" i="1"/>
  <c r="E267" i="1"/>
  <c r="F267" i="1"/>
  <c r="G267" i="1"/>
  <c r="H267" i="1"/>
  <c r="I267" i="1"/>
  <c r="J267" i="1"/>
  <c r="A268" i="1"/>
  <c r="B268" i="1"/>
  <c r="C268" i="1"/>
  <c r="D268" i="1"/>
  <c r="E268" i="1"/>
  <c r="F268" i="1"/>
  <c r="G268" i="1"/>
  <c r="H268" i="1"/>
  <c r="I268" i="1"/>
  <c r="J268" i="1"/>
  <c r="A269" i="1"/>
  <c r="B269" i="1"/>
  <c r="C269" i="1"/>
  <c r="D269" i="1"/>
  <c r="E269" i="1"/>
  <c r="F269" i="1"/>
  <c r="G269" i="1"/>
  <c r="H269" i="1"/>
  <c r="I269" i="1"/>
  <c r="J269" i="1"/>
  <c r="A270" i="1"/>
  <c r="B270" i="1"/>
  <c r="C270" i="1"/>
  <c r="D270" i="1"/>
  <c r="E270" i="1"/>
  <c r="F270" i="1"/>
  <c r="G270" i="1"/>
  <c r="H270" i="1"/>
  <c r="I270" i="1"/>
  <c r="J270" i="1"/>
  <c r="A271" i="1"/>
  <c r="B271" i="1"/>
  <c r="C271" i="1"/>
  <c r="D271" i="1"/>
  <c r="E271" i="1"/>
  <c r="F271" i="1"/>
  <c r="G271" i="1"/>
  <c r="H271" i="1"/>
  <c r="I271" i="1"/>
  <c r="J271" i="1"/>
  <c r="A272" i="1"/>
  <c r="B272" i="1"/>
  <c r="C272" i="1"/>
  <c r="D272" i="1"/>
  <c r="E272" i="1"/>
  <c r="F272" i="1"/>
  <c r="G272" i="1"/>
  <c r="H272" i="1"/>
  <c r="I272" i="1"/>
  <c r="J272" i="1"/>
  <c r="A273" i="1"/>
  <c r="B273" i="1"/>
  <c r="C273" i="1"/>
  <c r="D273" i="1"/>
  <c r="E273" i="1"/>
  <c r="F273" i="1"/>
  <c r="G273" i="1"/>
  <c r="H273" i="1"/>
  <c r="I273" i="1"/>
  <c r="J273" i="1"/>
  <c r="A274" i="1"/>
  <c r="B274" i="1"/>
  <c r="C274" i="1"/>
  <c r="D274" i="1"/>
  <c r="E274" i="1"/>
  <c r="F274" i="1"/>
  <c r="G274" i="1"/>
  <c r="H274" i="1"/>
  <c r="I274" i="1"/>
  <c r="J274" i="1"/>
  <c r="A275" i="1"/>
  <c r="B275" i="1"/>
  <c r="C275" i="1"/>
  <c r="D275" i="1"/>
  <c r="E275" i="1"/>
  <c r="F275" i="1"/>
  <c r="G275" i="1"/>
  <c r="H275" i="1"/>
  <c r="I275" i="1"/>
  <c r="J275" i="1"/>
  <c r="A276" i="1"/>
  <c r="B276" i="1"/>
  <c r="C276" i="1"/>
  <c r="D276" i="1"/>
  <c r="E276" i="1"/>
  <c r="F276" i="1"/>
  <c r="G276" i="1"/>
  <c r="H276" i="1"/>
  <c r="I276" i="1"/>
  <c r="J276" i="1"/>
  <c r="A277" i="1"/>
  <c r="B277" i="1"/>
  <c r="C277" i="1"/>
  <c r="D277" i="1"/>
  <c r="E277" i="1"/>
  <c r="F277" i="1"/>
  <c r="G277" i="1"/>
  <c r="H277" i="1"/>
  <c r="I277" i="1"/>
  <c r="J277" i="1"/>
  <c r="A278" i="1"/>
  <c r="B278" i="1"/>
  <c r="C278" i="1"/>
  <c r="D278" i="1"/>
  <c r="E278" i="1"/>
  <c r="F278" i="1"/>
  <c r="G278" i="1"/>
  <c r="H278" i="1"/>
  <c r="I278" i="1"/>
  <c r="J278" i="1"/>
  <c r="A279" i="1"/>
  <c r="B279" i="1"/>
  <c r="C279" i="1"/>
  <c r="D279" i="1"/>
  <c r="E279" i="1"/>
  <c r="F279" i="1"/>
  <c r="G279" i="1"/>
  <c r="H279" i="1"/>
  <c r="I279" i="1"/>
  <c r="J279" i="1"/>
  <c r="A280" i="1"/>
  <c r="B280" i="1"/>
  <c r="C280" i="1"/>
  <c r="D280" i="1"/>
  <c r="E280" i="1"/>
  <c r="F280" i="1"/>
  <c r="G280" i="1"/>
  <c r="H280" i="1"/>
  <c r="I280" i="1"/>
  <c r="J280" i="1"/>
  <c r="A281" i="1"/>
  <c r="B281" i="1"/>
  <c r="C281" i="1"/>
  <c r="D281" i="1"/>
  <c r="E281" i="1"/>
  <c r="F281" i="1"/>
  <c r="G281" i="1"/>
  <c r="H281" i="1"/>
  <c r="I281" i="1"/>
  <c r="J281" i="1"/>
  <c r="A282" i="1"/>
  <c r="B282" i="1"/>
  <c r="C282" i="1"/>
  <c r="D282" i="1"/>
  <c r="E282" i="1"/>
  <c r="F282" i="1"/>
  <c r="G282" i="1"/>
  <c r="H282" i="1"/>
  <c r="I282" i="1"/>
  <c r="J282" i="1"/>
  <c r="A283" i="1"/>
  <c r="B283" i="1"/>
  <c r="C283" i="1"/>
  <c r="D283" i="1"/>
  <c r="E283" i="1"/>
  <c r="F283" i="1"/>
  <c r="G283" i="1"/>
  <c r="H283" i="1"/>
  <c r="I283" i="1"/>
  <c r="J283" i="1"/>
  <c r="A284" i="1"/>
  <c r="B284" i="1"/>
  <c r="C284" i="1"/>
  <c r="D284" i="1"/>
  <c r="E284" i="1"/>
  <c r="F284" i="1"/>
  <c r="G284" i="1"/>
  <c r="H284" i="1"/>
  <c r="I284" i="1"/>
  <c r="J284" i="1"/>
  <c r="A285" i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A287" i="1"/>
  <c r="B287" i="1"/>
  <c r="C287" i="1"/>
  <c r="D287" i="1"/>
  <c r="E287" i="1"/>
  <c r="F287" i="1"/>
  <c r="G287" i="1"/>
  <c r="H287" i="1"/>
  <c r="I287" i="1"/>
  <c r="J287" i="1"/>
  <c r="A288" i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A290" i="1"/>
  <c r="B290" i="1"/>
  <c r="C290" i="1"/>
  <c r="D290" i="1"/>
  <c r="E290" i="1"/>
  <c r="F290" i="1"/>
  <c r="G290" i="1"/>
  <c r="H290" i="1"/>
  <c r="I290" i="1"/>
  <c r="J290" i="1"/>
  <c r="A291" i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A293" i="1"/>
  <c r="B293" i="1"/>
  <c r="C293" i="1"/>
  <c r="D293" i="1"/>
  <c r="E293" i="1"/>
  <c r="F293" i="1"/>
  <c r="G293" i="1"/>
  <c r="H293" i="1"/>
  <c r="I293" i="1"/>
  <c r="J293" i="1"/>
  <c r="A294" i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J295" i="1"/>
  <c r="A296" i="1"/>
  <c r="B296" i="1"/>
  <c r="C296" i="1"/>
  <c r="D296" i="1"/>
  <c r="E296" i="1"/>
  <c r="F296" i="1"/>
  <c r="G296" i="1"/>
  <c r="H296" i="1"/>
  <c r="I296" i="1"/>
  <c r="J296" i="1"/>
  <c r="A297" i="1"/>
  <c r="B297" i="1"/>
  <c r="C297" i="1"/>
  <c r="D297" i="1"/>
  <c r="E297" i="1"/>
  <c r="F297" i="1"/>
  <c r="G297" i="1"/>
  <c r="H297" i="1"/>
  <c r="I297" i="1"/>
  <c r="J297" i="1"/>
  <c r="A298" i="1"/>
  <c r="B298" i="1"/>
  <c r="C298" i="1"/>
  <c r="D298" i="1"/>
  <c r="E298" i="1"/>
  <c r="F298" i="1"/>
  <c r="G298" i="1"/>
  <c r="H298" i="1"/>
  <c r="I298" i="1"/>
  <c r="J298" i="1"/>
  <c r="A299" i="1"/>
  <c r="B299" i="1"/>
  <c r="C299" i="1"/>
  <c r="D299" i="1"/>
  <c r="E299" i="1"/>
  <c r="F299" i="1"/>
  <c r="G299" i="1"/>
  <c r="H299" i="1"/>
  <c r="I299" i="1"/>
  <c r="J299" i="1"/>
  <c r="A300" i="1"/>
  <c r="B300" i="1"/>
  <c r="C300" i="1"/>
  <c r="D300" i="1"/>
  <c r="E300" i="1"/>
  <c r="F300" i="1"/>
  <c r="G300" i="1"/>
  <c r="H300" i="1"/>
  <c r="I300" i="1"/>
  <c r="J300" i="1"/>
  <c r="A301" i="1"/>
  <c r="B301" i="1"/>
  <c r="C301" i="1"/>
  <c r="D301" i="1"/>
  <c r="E301" i="1"/>
  <c r="F301" i="1"/>
  <c r="G301" i="1"/>
  <c r="H301" i="1"/>
  <c r="I301" i="1"/>
  <c r="J301" i="1"/>
  <c r="A302" i="1"/>
  <c r="B302" i="1"/>
  <c r="C302" i="1"/>
  <c r="D302" i="1"/>
  <c r="E302" i="1"/>
  <c r="F302" i="1"/>
  <c r="G302" i="1"/>
  <c r="H302" i="1"/>
  <c r="I302" i="1"/>
  <c r="J302" i="1"/>
  <c r="A303" i="1"/>
  <c r="B303" i="1"/>
  <c r="C303" i="1"/>
  <c r="D303" i="1"/>
  <c r="E303" i="1"/>
  <c r="F303" i="1"/>
  <c r="G303" i="1"/>
  <c r="H303" i="1"/>
  <c r="I303" i="1"/>
  <c r="J303" i="1"/>
  <c r="A304" i="1"/>
  <c r="B304" i="1"/>
  <c r="C304" i="1"/>
  <c r="D304" i="1"/>
  <c r="E304" i="1"/>
  <c r="F304" i="1"/>
  <c r="G304" i="1"/>
  <c r="H304" i="1"/>
  <c r="I304" i="1"/>
  <c r="J304" i="1"/>
  <c r="A305" i="1"/>
  <c r="B305" i="1"/>
  <c r="C305" i="1"/>
  <c r="D305" i="1"/>
  <c r="E305" i="1"/>
  <c r="F305" i="1"/>
  <c r="G305" i="1"/>
  <c r="H305" i="1"/>
  <c r="I305" i="1"/>
  <c r="J305" i="1"/>
  <c r="A306" i="1"/>
  <c r="B306" i="1"/>
  <c r="C306" i="1"/>
  <c r="D306" i="1"/>
  <c r="E306" i="1"/>
  <c r="F306" i="1"/>
  <c r="G306" i="1"/>
  <c r="H306" i="1"/>
  <c r="I306" i="1"/>
  <c r="J306" i="1"/>
  <c r="A307" i="1"/>
  <c r="B307" i="1"/>
  <c r="C307" i="1"/>
  <c r="D307" i="1"/>
  <c r="E307" i="1"/>
  <c r="F307" i="1"/>
  <c r="G307" i="1"/>
  <c r="H307" i="1"/>
  <c r="I307" i="1"/>
  <c r="J307" i="1"/>
  <c r="A308" i="1"/>
  <c r="B308" i="1"/>
  <c r="C308" i="1"/>
  <c r="D308" i="1"/>
  <c r="E308" i="1"/>
  <c r="F308" i="1"/>
  <c r="G308" i="1"/>
  <c r="H308" i="1"/>
  <c r="I308" i="1"/>
  <c r="J308" i="1"/>
  <c r="A309" i="1"/>
  <c r="B309" i="1"/>
  <c r="C309" i="1"/>
  <c r="D309" i="1"/>
  <c r="E309" i="1"/>
  <c r="F309" i="1"/>
  <c r="G309" i="1"/>
  <c r="H309" i="1"/>
  <c r="I309" i="1"/>
  <c r="J309" i="1"/>
  <c r="A310" i="1"/>
  <c r="B310" i="1"/>
  <c r="C310" i="1"/>
  <c r="D310" i="1"/>
  <c r="E310" i="1"/>
  <c r="F310" i="1"/>
  <c r="G310" i="1"/>
  <c r="H310" i="1"/>
  <c r="I310" i="1"/>
  <c r="J310" i="1"/>
  <c r="A311" i="1"/>
  <c r="B311" i="1"/>
  <c r="C311" i="1"/>
  <c r="D311" i="1"/>
  <c r="E311" i="1"/>
  <c r="F311" i="1"/>
  <c r="G311" i="1"/>
  <c r="H311" i="1"/>
  <c r="I311" i="1"/>
  <c r="J311" i="1"/>
  <c r="A312" i="1"/>
  <c r="B312" i="1"/>
  <c r="C312" i="1"/>
  <c r="D312" i="1"/>
  <c r="E312" i="1"/>
  <c r="F312" i="1"/>
  <c r="G312" i="1"/>
  <c r="H312" i="1"/>
  <c r="I312" i="1"/>
  <c r="J312" i="1"/>
  <c r="A313" i="1"/>
  <c r="B313" i="1"/>
  <c r="C313" i="1"/>
  <c r="D313" i="1"/>
  <c r="E313" i="1"/>
  <c r="F313" i="1"/>
  <c r="G313" i="1"/>
  <c r="H313" i="1"/>
  <c r="I313" i="1"/>
  <c r="J313" i="1"/>
  <c r="A314" i="1"/>
  <c r="B314" i="1"/>
  <c r="C314" i="1"/>
  <c r="D314" i="1"/>
  <c r="E314" i="1"/>
  <c r="F314" i="1"/>
  <c r="G314" i="1"/>
  <c r="H314" i="1"/>
  <c r="I314" i="1"/>
  <c r="J314" i="1"/>
  <c r="A315" i="1"/>
  <c r="B315" i="1"/>
  <c r="C315" i="1"/>
  <c r="D315" i="1"/>
  <c r="E315" i="1"/>
  <c r="F315" i="1"/>
  <c r="G315" i="1"/>
  <c r="H315" i="1"/>
  <c r="I315" i="1"/>
  <c r="J315" i="1"/>
  <c r="A316" i="1"/>
  <c r="B316" i="1"/>
  <c r="C316" i="1"/>
  <c r="D316" i="1"/>
  <c r="E316" i="1"/>
  <c r="F316" i="1"/>
  <c r="G316" i="1"/>
  <c r="H316" i="1"/>
  <c r="I316" i="1"/>
  <c r="J316" i="1"/>
  <c r="A317" i="1"/>
  <c r="B317" i="1"/>
  <c r="C317" i="1"/>
  <c r="D317" i="1"/>
  <c r="E317" i="1"/>
  <c r="F317" i="1"/>
  <c r="G317" i="1"/>
  <c r="H317" i="1"/>
  <c r="I317" i="1"/>
  <c r="J317" i="1"/>
  <c r="A318" i="1"/>
  <c r="B318" i="1"/>
  <c r="C318" i="1"/>
  <c r="D318" i="1"/>
  <c r="E318" i="1"/>
  <c r="F318" i="1"/>
  <c r="G318" i="1"/>
  <c r="H318" i="1"/>
  <c r="I318" i="1"/>
  <c r="J318" i="1"/>
  <c r="A319" i="1"/>
  <c r="B319" i="1"/>
  <c r="C319" i="1"/>
  <c r="D319" i="1"/>
  <c r="E319" i="1"/>
  <c r="F319" i="1"/>
  <c r="G319" i="1"/>
  <c r="H319" i="1"/>
  <c r="I319" i="1"/>
  <c r="J319" i="1"/>
  <c r="A320" i="1"/>
  <c r="B320" i="1"/>
  <c r="C320" i="1"/>
  <c r="D320" i="1"/>
  <c r="E320" i="1"/>
  <c r="F320" i="1"/>
  <c r="G320" i="1"/>
  <c r="H320" i="1"/>
  <c r="I320" i="1"/>
  <c r="J320" i="1"/>
  <c r="A321" i="1"/>
  <c r="B321" i="1"/>
  <c r="C321" i="1"/>
  <c r="D321" i="1"/>
  <c r="E321" i="1"/>
  <c r="F321" i="1"/>
  <c r="G321" i="1"/>
  <c r="H321" i="1"/>
  <c r="I321" i="1"/>
  <c r="J321" i="1"/>
  <c r="A322" i="1"/>
  <c r="B322" i="1"/>
  <c r="C322" i="1"/>
  <c r="D322" i="1"/>
  <c r="E322" i="1"/>
  <c r="F322" i="1"/>
  <c r="G322" i="1"/>
  <c r="H322" i="1"/>
  <c r="I322" i="1"/>
  <c r="J322" i="1"/>
  <c r="A323" i="1"/>
  <c r="B323" i="1"/>
  <c r="C323" i="1"/>
  <c r="D323" i="1"/>
  <c r="E323" i="1"/>
  <c r="F323" i="1"/>
  <c r="G323" i="1"/>
  <c r="H323" i="1"/>
  <c r="I323" i="1"/>
  <c r="J323" i="1"/>
  <c r="A324" i="1"/>
  <c r="B324" i="1"/>
  <c r="C324" i="1"/>
  <c r="D324" i="1"/>
  <c r="E324" i="1"/>
  <c r="F324" i="1"/>
  <c r="G324" i="1"/>
  <c r="H324" i="1"/>
  <c r="I324" i="1"/>
  <c r="J324" i="1"/>
  <c r="A325" i="1"/>
  <c r="B325" i="1"/>
  <c r="C325" i="1"/>
  <c r="D325" i="1"/>
  <c r="E325" i="1"/>
  <c r="F325" i="1"/>
  <c r="G325" i="1"/>
  <c r="H325" i="1"/>
  <c r="I325" i="1"/>
  <c r="J325" i="1"/>
  <c r="A326" i="1"/>
  <c r="B326" i="1"/>
  <c r="C326" i="1"/>
  <c r="D326" i="1"/>
  <c r="E326" i="1"/>
  <c r="F326" i="1"/>
  <c r="G326" i="1"/>
  <c r="H326" i="1"/>
  <c r="I326" i="1"/>
  <c r="J326" i="1"/>
  <c r="A327" i="1"/>
  <c r="B327" i="1"/>
  <c r="C327" i="1"/>
  <c r="D327" i="1"/>
  <c r="E327" i="1"/>
  <c r="F327" i="1"/>
  <c r="G327" i="1"/>
  <c r="H327" i="1"/>
  <c r="I327" i="1"/>
  <c r="J327" i="1"/>
  <c r="A328" i="1"/>
  <c r="B328" i="1"/>
  <c r="C328" i="1"/>
  <c r="D328" i="1"/>
  <c r="E328" i="1"/>
  <c r="F328" i="1"/>
  <c r="G328" i="1"/>
  <c r="H328" i="1"/>
  <c r="I328" i="1"/>
  <c r="J328" i="1"/>
  <c r="A329" i="1"/>
  <c r="B329" i="1"/>
  <c r="C329" i="1"/>
  <c r="D329" i="1"/>
  <c r="E329" i="1"/>
  <c r="F329" i="1"/>
  <c r="G329" i="1"/>
  <c r="H329" i="1"/>
  <c r="I329" i="1"/>
  <c r="J329" i="1"/>
  <c r="A330" i="1"/>
  <c r="B330" i="1"/>
  <c r="C330" i="1"/>
  <c r="D330" i="1"/>
  <c r="E330" i="1"/>
  <c r="F330" i="1"/>
  <c r="G330" i="1"/>
  <c r="H330" i="1"/>
  <c r="I330" i="1"/>
  <c r="J330" i="1"/>
  <c r="A331" i="1"/>
  <c r="B331" i="1"/>
  <c r="C331" i="1"/>
  <c r="D331" i="1"/>
  <c r="E331" i="1"/>
  <c r="F331" i="1"/>
  <c r="G331" i="1"/>
  <c r="H331" i="1"/>
  <c r="I331" i="1"/>
  <c r="J331" i="1"/>
  <c r="A332" i="1"/>
  <c r="B332" i="1"/>
  <c r="C332" i="1"/>
  <c r="D332" i="1"/>
  <c r="E332" i="1"/>
  <c r="F332" i="1"/>
  <c r="G332" i="1"/>
  <c r="H332" i="1"/>
  <c r="I332" i="1"/>
  <c r="J332" i="1"/>
  <c r="A333" i="1"/>
  <c r="B333" i="1"/>
  <c r="C333" i="1"/>
  <c r="D333" i="1"/>
  <c r="E333" i="1"/>
  <c r="F333" i="1"/>
  <c r="G333" i="1"/>
  <c r="H333" i="1"/>
  <c r="I333" i="1"/>
  <c r="J333" i="1"/>
  <c r="A334" i="1"/>
  <c r="B334" i="1"/>
  <c r="C334" i="1"/>
  <c r="D334" i="1"/>
  <c r="E334" i="1"/>
  <c r="F334" i="1"/>
  <c r="G334" i="1"/>
  <c r="H334" i="1"/>
  <c r="I334" i="1"/>
  <c r="J334" i="1"/>
  <c r="A335" i="1"/>
  <c r="B335" i="1"/>
  <c r="C335" i="1"/>
  <c r="D335" i="1"/>
  <c r="E335" i="1"/>
  <c r="F335" i="1"/>
  <c r="G335" i="1"/>
  <c r="H335" i="1"/>
  <c r="I335" i="1"/>
  <c r="J335" i="1"/>
  <c r="A336" i="1"/>
  <c r="B336" i="1"/>
  <c r="C336" i="1"/>
  <c r="D336" i="1"/>
  <c r="E336" i="1"/>
  <c r="F336" i="1"/>
  <c r="G336" i="1"/>
  <c r="H336" i="1"/>
  <c r="I336" i="1"/>
  <c r="J336" i="1"/>
  <c r="A337" i="1"/>
  <c r="B337" i="1"/>
  <c r="C337" i="1"/>
  <c r="D337" i="1"/>
  <c r="E337" i="1"/>
  <c r="F337" i="1"/>
  <c r="G337" i="1"/>
  <c r="H337" i="1"/>
  <c r="I337" i="1"/>
  <c r="J337" i="1"/>
  <c r="A338" i="1"/>
  <c r="B338" i="1"/>
  <c r="C338" i="1"/>
  <c r="D338" i="1"/>
  <c r="E338" i="1"/>
  <c r="F338" i="1"/>
  <c r="G338" i="1"/>
  <c r="H338" i="1"/>
  <c r="I338" i="1"/>
  <c r="J338" i="1"/>
  <c r="A339" i="1"/>
  <c r="B339" i="1"/>
  <c r="C339" i="1"/>
  <c r="D339" i="1"/>
  <c r="E339" i="1"/>
  <c r="F339" i="1"/>
  <c r="G339" i="1"/>
  <c r="H339" i="1"/>
  <c r="I339" i="1"/>
  <c r="J339" i="1"/>
  <c r="A340" i="1"/>
  <c r="B340" i="1"/>
  <c r="C340" i="1"/>
  <c r="D340" i="1"/>
  <c r="E340" i="1"/>
  <c r="F340" i="1"/>
  <c r="G340" i="1"/>
  <c r="H340" i="1"/>
  <c r="I340" i="1"/>
  <c r="J340" i="1"/>
  <c r="A341" i="1"/>
  <c r="B341" i="1"/>
  <c r="C341" i="1"/>
  <c r="D341" i="1"/>
  <c r="E341" i="1"/>
  <c r="F341" i="1"/>
  <c r="G341" i="1"/>
  <c r="H341" i="1"/>
  <c r="I341" i="1"/>
  <c r="J341" i="1"/>
  <c r="A342" i="1"/>
  <c r="B342" i="1"/>
  <c r="C342" i="1"/>
  <c r="D342" i="1"/>
  <c r="E342" i="1"/>
  <c r="F342" i="1"/>
  <c r="G342" i="1"/>
  <c r="H342" i="1"/>
  <c r="I342" i="1"/>
  <c r="J342" i="1"/>
  <c r="A343" i="1"/>
  <c r="B343" i="1"/>
  <c r="C343" i="1"/>
  <c r="D343" i="1"/>
  <c r="E343" i="1"/>
  <c r="F343" i="1"/>
  <c r="G343" i="1"/>
  <c r="H343" i="1"/>
  <c r="I343" i="1"/>
  <c r="J343" i="1"/>
  <c r="A344" i="1"/>
  <c r="B344" i="1"/>
  <c r="C344" i="1"/>
  <c r="D344" i="1"/>
  <c r="E344" i="1"/>
  <c r="F344" i="1"/>
  <c r="G344" i="1"/>
  <c r="H344" i="1"/>
  <c r="I344" i="1"/>
  <c r="J344" i="1"/>
  <c r="A345" i="1"/>
  <c r="B345" i="1"/>
  <c r="C345" i="1"/>
  <c r="D345" i="1"/>
  <c r="E345" i="1"/>
  <c r="F345" i="1"/>
  <c r="G345" i="1"/>
  <c r="H345" i="1"/>
  <c r="I345" i="1"/>
  <c r="J345" i="1"/>
  <c r="A346" i="1"/>
  <c r="B346" i="1"/>
  <c r="C346" i="1"/>
  <c r="D346" i="1"/>
  <c r="E346" i="1"/>
  <c r="F346" i="1"/>
  <c r="G346" i="1"/>
  <c r="H346" i="1"/>
  <c r="I346" i="1"/>
  <c r="J346" i="1"/>
  <c r="A347" i="1"/>
  <c r="B347" i="1"/>
  <c r="C347" i="1"/>
  <c r="D347" i="1"/>
  <c r="E347" i="1"/>
  <c r="F347" i="1"/>
  <c r="G347" i="1"/>
  <c r="H347" i="1"/>
  <c r="I347" i="1"/>
  <c r="J347" i="1"/>
  <c r="A348" i="1"/>
  <c r="B348" i="1"/>
  <c r="C348" i="1"/>
  <c r="D348" i="1"/>
  <c r="E348" i="1"/>
  <c r="F348" i="1"/>
  <c r="G348" i="1"/>
  <c r="H348" i="1"/>
  <c r="I348" i="1"/>
  <c r="J348" i="1"/>
  <c r="A349" i="1"/>
  <c r="B349" i="1"/>
  <c r="C349" i="1"/>
  <c r="D349" i="1"/>
  <c r="E349" i="1"/>
  <c r="F349" i="1"/>
  <c r="G349" i="1"/>
  <c r="H349" i="1"/>
  <c r="I349" i="1"/>
  <c r="J349" i="1"/>
  <c r="A350" i="1"/>
  <c r="B350" i="1"/>
  <c r="C350" i="1"/>
  <c r="D350" i="1"/>
  <c r="E350" i="1"/>
  <c r="F350" i="1"/>
  <c r="G350" i="1"/>
  <c r="H350" i="1"/>
  <c r="I350" i="1"/>
  <c r="J350" i="1"/>
  <c r="A351" i="1"/>
  <c r="B351" i="1"/>
  <c r="C351" i="1"/>
  <c r="D351" i="1"/>
  <c r="E351" i="1"/>
  <c r="F351" i="1"/>
  <c r="G351" i="1"/>
  <c r="H351" i="1"/>
  <c r="I351" i="1"/>
  <c r="J351" i="1"/>
  <c r="A352" i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A354" i="1"/>
  <c r="B354" i="1"/>
  <c r="C354" i="1"/>
  <c r="D354" i="1"/>
  <c r="E354" i="1"/>
  <c r="F354" i="1"/>
  <c r="G354" i="1"/>
  <c r="H354" i="1"/>
  <c r="I354" i="1"/>
  <c r="J354" i="1"/>
  <c r="A355" i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A357" i="1"/>
  <c r="B357" i="1"/>
  <c r="C357" i="1"/>
  <c r="D357" i="1"/>
  <c r="E357" i="1"/>
  <c r="F357" i="1"/>
  <c r="G357" i="1"/>
  <c r="H357" i="1"/>
  <c r="I357" i="1"/>
  <c r="J357" i="1"/>
  <c r="A358" i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J359" i="1"/>
  <c r="A360" i="1"/>
  <c r="B360" i="1"/>
  <c r="C360" i="1"/>
  <c r="D360" i="1"/>
  <c r="E360" i="1"/>
  <c r="F360" i="1"/>
  <c r="G360" i="1"/>
  <c r="H360" i="1"/>
  <c r="I360" i="1"/>
  <c r="J360" i="1"/>
  <c r="A361" i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I362" i="1"/>
  <c r="J362" i="1"/>
  <c r="A363" i="1"/>
  <c r="B363" i="1"/>
  <c r="C363" i="1"/>
  <c r="D363" i="1"/>
  <c r="E363" i="1"/>
  <c r="F363" i="1"/>
  <c r="G363" i="1"/>
  <c r="H363" i="1"/>
  <c r="I363" i="1"/>
  <c r="J363" i="1"/>
  <c r="A364" i="1"/>
  <c r="B364" i="1"/>
  <c r="C364" i="1"/>
  <c r="D364" i="1"/>
  <c r="E364" i="1"/>
  <c r="F364" i="1"/>
  <c r="G364" i="1"/>
  <c r="H364" i="1"/>
  <c r="I364" i="1"/>
  <c r="J364" i="1"/>
  <c r="A365" i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A367" i="1"/>
  <c r="B367" i="1"/>
  <c r="C367" i="1"/>
  <c r="D367" i="1"/>
  <c r="E367" i="1"/>
  <c r="F367" i="1"/>
  <c r="G367" i="1"/>
  <c r="H367" i="1"/>
  <c r="I367" i="1"/>
  <c r="J367" i="1"/>
  <c r="A368" i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A370" i="1"/>
  <c r="B370" i="1"/>
  <c r="C370" i="1"/>
  <c r="D370" i="1"/>
  <c r="E370" i="1"/>
  <c r="F370" i="1"/>
  <c r="G370" i="1"/>
  <c r="H370" i="1"/>
  <c r="I370" i="1"/>
  <c r="J370" i="1"/>
  <c r="A371" i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A373" i="1"/>
  <c r="B373" i="1"/>
  <c r="C373" i="1"/>
  <c r="D373" i="1"/>
  <c r="E373" i="1"/>
  <c r="F373" i="1"/>
  <c r="G373" i="1"/>
  <c r="H373" i="1"/>
  <c r="I373" i="1"/>
  <c r="J373" i="1"/>
  <c r="A374" i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J375" i="1"/>
  <c r="A376" i="1"/>
  <c r="B376" i="1"/>
  <c r="C376" i="1"/>
  <c r="D376" i="1"/>
  <c r="E376" i="1"/>
  <c r="F376" i="1"/>
  <c r="G376" i="1"/>
  <c r="H376" i="1"/>
  <c r="I376" i="1"/>
  <c r="J376" i="1"/>
  <c r="A377" i="1"/>
  <c r="B377" i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I378" i="1"/>
  <c r="J378" i="1"/>
  <c r="A379" i="1"/>
  <c r="B379" i="1"/>
  <c r="C379" i="1"/>
  <c r="D379" i="1"/>
  <c r="E379" i="1"/>
  <c r="F379" i="1"/>
  <c r="G379" i="1"/>
  <c r="H379" i="1"/>
  <c r="I379" i="1"/>
  <c r="J379" i="1"/>
  <c r="A380" i="1"/>
  <c r="B380" i="1"/>
  <c r="C380" i="1"/>
  <c r="D380" i="1"/>
  <c r="E380" i="1"/>
  <c r="F380" i="1"/>
  <c r="G380" i="1"/>
  <c r="H380" i="1"/>
  <c r="I380" i="1"/>
  <c r="J380" i="1"/>
  <c r="A381" i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A383" i="1"/>
  <c r="B383" i="1"/>
  <c r="C383" i="1"/>
  <c r="D383" i="1"/>
  <c r="E383" i="1"/>
  <c r="F383" i="1"/>
  <c r="G383" i="1"/>
  <c r="H383" i="1"/>
  <c r="I383" i="1"/>
  <c r="J383" i="1"/>
  <c r="A384" i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A386" i="1"/>
  <c r="B386" i="1"/>
  <c r="C386" i="1"/>
  <c r="D386" i="1"/>
  <c r="E386" i="1"/>
  <c r="F386" i="1"/>
  <c r="G386" i="1"/>
  <c r="H386" i="1"/>
  <c r="I386" i="1"/>
  <c r="J386" i="1"/>
  <c r="A387" i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A389" i="1"/>
  <c r="B389" i="1"/>
  <c r="C389" i="1"/>
  <c r="D389" i="1"/>
  <c r="E389" i="1"/>
  <c r="F389" i="1"/>
  <c r="G389" i="1"/>
  <c r="H389" i="1"/>
  <c r="I389" i="1"/>
  <c r="J389" i="1"/>
  <c r="A390" i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J391" i="1"/>
  <c r="A392" i="1"/>
  <c r="B392" i="1"/>
  <c r="C392" i="1"/>
  <c r="D392" i="1"/>
  <c r="E392" i="1"/>
  <c r="F392" i="1"/>
  <c r="G392" i="1"/>
  <c r="H392" i="1"/>
  <c r="I392" i="1"/>
  <c r="J392" i="1"/>
  <c r="A393" i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I394" i="1"/>
  <c r="J394" i="1"/>
  <c r="A395" i="1"/>
  <c r="B395" i="1"/>
  <c r="C395" i="1"/>
  <c r="D395" i="1"/>
  <c r="E395" i="1"/>
  <c r="F395" i="1"/>
  <c r="G395" i="1"/>
  <c r="H395" i="1"/>
  <c r="I395" i="1"/>
  <c r="J395" i="1"/>
  <c r="A396" i="1"/>
  <c r="B396" i="1"/>
  <c r="C396" i="1"/>
  <c r="D396" i="1"/>
  <c r="E396" i="1"/>
  <c r="F396" i="1"/>
  <c r="G396" i="1"/>
  <c r="H396" i="1"/>
  <c r="I396" i="1"/>
  <c r="J396" i="1"/>
  <c r="A397" i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J398" i="1"/>
  <c r="A399" i="1"/>
  <c r="B399" i="1"/>
  <c r="C399" i="1"/>
  <c r="D399" i="1"/>
  <c r="E399" i="1"/>
  <c r="F399" i="1"/>
  <c r="G399" i="1"/>
  <c r="H399" i="1"/>
  <c r="I399" i="1"/>
  <c r="J399" i="1"/>
  <c r="A400" i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A402" i="1"/>
  <c r="B402" i="1"/>
  <c r="C402" i="1"/>
  <c r="D402" i="1"/>
  <c r="E402" i="1"/>
  <c r="F402" i="1"/>
  <c r="G402" i="1"/>
  <c r="H402" i="1"/>
  <c r="I402" i="1"/>
  <c r="J402" i="1"/>
  <c r="A403" i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A405" i="1"/>
  <c r="B405" i="1"/>
  <c r="C405" i="1"/>
  <c r="D405" i="1"/>
  <c r="E405" i="1"/>
  <c r="F405" i="1"/>
  <c r="G405" i="1"/>
  <c r="H405" i="1"/>
  <c r="I405" i="1"/>
  <c r="J405" i="1"/>
  <c r="A406" i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J407" i="1"/>
  <c r="A408" i="1"/>
  <c r="B408" i="1"/>
  <c r="C408" i="1"/>
  <c r="D408" i="1"/>
  <c r="E408" i="1"/>
  <c r="F408" i="1"/>
  <c r="G408" i="1"/>
  <c r="H408" i="1"/>
  <c r="I408" i="1"/>
  <c r="J408" i="1"/>
  <c r="A409" i="1"/>
  <c r="B409" i="1"/>
  <c r="C409" i="1"/>
  <c r="D409" i="1"/>
  <c r="E409" i="1"/>
  <c r="F409" i="1"/>
  <c r="G409" i="1"/>
  <c r="H409" i="1"/>
  <c r="I409" i="1"/>
  <c r="J409" i="1"/>
  <c r="A410" i="1"/>
  <c r="B410" i="1"/>
  <c r="C410" i="1"/>
  <c r="D410" i="1"/>
  <c r="E410" i="1"/>
  <c r="F410" i="1"/>
  <c r="G410" i="1"/>
  <c r="H410" i="1"/>
  <c r="I410" i="1"/>
  <c r="J410" i="1"/>
  <c r="A411" i="1"/>
  <c r="B411" i="1"/>
  <c r="C411" i="1"/>
  <c r="D411" i="1"/>
  <c r="E411" i="1"/>
  <c r="F411" i="1"/>
  <c r="G411" i="1"/>
  <c r="H411" i="1"/>
  <c r="I411" i="1"/>
  <c r="J411" i="1"/>
  <c r="A412" i="1"/>
  <c r="B412" i="1"/>
  <c r="C412" i="1"/>
  <c r="D412" i="1"/>
  <c r="E412" i="1"/>
  <c r="F412" i="1"/>
  <c r="G412" i="1"/>
  <c r="H412" i="1"/>
  <c r="I412" i="1"/>
  <c r="J412" i="1"/>
  <c r="A413" i="1"/>
  <c r="B413" i="1"/>
  <c r="C413" i="1"/>
  <c r="D413" i="1"/>
  <c r="E413" i="1"/>
  <c r="F413" i="1"/>
  <c r="G413" i="1"/>
  <c r="H413" i="1"/>
  <c r="I413" i="1"/>
  <c r="J413" i="1"/>
  <c r="A414" i="1"/>
  <c r="B414" i="1"/>
  <c r="C414" i="1"/>
  <c r="D414" i="1"/>
  <c r="E414" i="1"/>
  <c r="F414" i="1"/>
  <c r="G414" i="1"/>
  <c r="H414" i="1"/>
  <c r="I414" i="1"/>
  <c r="J414" i="1"/>
  <c r="A415" i="1"/>
  <c r="B415" i="1"/>
  <c r="C415" i="1"/>
  <c r="D415" i="1"/>
  <c r="E415" i="1"/>
  <c r="F415" i="1"/>
  <c r="G415" i="1"/>
  <c r="H415" i="1"/>
  <c r="I415" i="1"/>
  <c r="J415" i="1"/>
  <c r="A416" i="1"/>
  <c r="B416" i="1"/>
  <c r="C416" i="1"/>
  <c r="D416" i="1"/>
  <c r="E416" i="1"/>
  <c r="F416" i="1"/>
  <c r="G416" i="1"/>
  <c r="H416" i="1"/>
  <c r="I416" i="1"/>
  <c r="J416" i="1"/>
  <c r="A417" i="1"/>
  <c r="B417" i="1"/>
  <c r="C417" i="1"/>
  <c r="D417" i="1"/>
  <c r="E417" i="1"/>
  <c r="F417" i="1"/>
  <c r="G417" i="1"/>
  <c r="H417" i="1"/>
  <c r="I417" i="1"/>
  <c r="J417" i="1"/>
  <c r="A418" i="1"/>
  <c r="B418" i="1"/>
  <c r="C418" i="1"/>
  <c r="D418" i="1"/>
  <c r="E418" i="1"/>
  <c r="F418" i="1"/>
  <c r="G418" i="1"/>
  <c r="H418" i="1"/>
  <c r="I418" i="1"/>
  <c r="J418" i="1"/>
  <c r="A419" i="1"/>
  <c r="B419" i="1"/>
  <c r="C419" i="1"/>
  <c r="D419" i="1"/>
  <c r="E419" i="1"/>
  <c r="F419" i="1"/>
  <c r="G419" i="1"/>
  <c r="H419" i="1"/>
  <c r="I419" i="1"/>
  <c r="J419" i="1"/>
  <c r="A420" i="1"/>
  <c r="B420" i="1"/>
  <c r="C420" i="1"/>
  <c r="D420" i="1"/>
  <c r="E420" i="1"/>
  <c r="F420" i="1"/>
  <c r="G420" i="1"/>
  <c r="H420" i="1"/>
  <c r="I420" i="1"/>
  <c r="J420" i="1"/>
  <c r="A421" i="1"/>
  <c r="B421" i="1"/>
  <c r="C421" i="1"/>
  <c r="D421" i="1"/>
  <c r="E421" i="1"/>
  <c r="F421" i="1"/>
  <c r="G421" i="1"/>
  <c r="H421" i="1"/>
  <c r="I421" i="1"/>
  <c r="J421" i="1"/>
  <c r="A422" i="1"/>
  <c r="B422" i="1"/>
  <c r="C422" i="1"/>
  <c r="D422" i="1"/>
  <c r="E422" i="1"/>
  <c r="F422" i="1"/>
  <c r="G422" i="1"/>
  <c r="H422" i="1"/>
  <c r="I422" i="1"/>
  <c r="J422" i="1"/>
  <c r="A423" i="1"/>
  <c r="B423" i="1"/>
  <c r="C423" i="1"/>
  <c r="D423" i="1"/>
  <c r="E423" i="1"/>
  <c r="F423" i="1"/>
  <c r="G423" i="1"/>
  <c r="H423" i="1"/>
  <c r="I423" i="1"/>
  <c r="J423" i="1"/>
  <c r="A424" i="1"/>
  <c r="B424" i="1"/>
  <c r="C424" i="1"/>
  <c r="D424" i="1"/>
  <c r="E424" i="1"/>
  <c r="F424" i="1"/>
  <c r="G424" i="1"/>
  <c r="H424" i="1"/>
  <c r="I424" i="1"/>
  <c r="J424" i="1"/>
  <c r="A425" i="1"/>
  <c r="B425" i="1"/>
  <c r="C425" i="1"/>
  <c r="D425" i="1"/>
  <c r="E425" i="1"/>
  <c r="F425" i="1"/>
  <c r="G425" i="1"/>
  <c r="H425" i="1"/>
  <c r="I425" i="1"/>
  <c r="J425" i="1"/>
  <c r="A426" i="1"/>
  <c r="B426" i="1"/>
  <c r="C426" i="1"/>
  <c r="D426" i="1"/>
  <c r="E426" i="1"/>
  <c r="F426" i="1"/>
  <c r="G426" i="1"/>
  <c r="H426" i="1"/>
  <c r="I426" i="1"/>
  <c r="J426" i="1"/>
  <c r="A427" i="1"/>
  <c r="B427" i="1"/>
  <c r="C427" i="1"/>
  <c r="D427" i="1"/>
  <c r="E427" i="1"/>
  <c r="F427" i="1"/>
  <c r="G427" i="1"/>
  <c r="H427" i="1"/>
  <c r="I427" i="1"/>
  <c r="J427" i="1"/>
  <c r="A428" i="1"/>
  <c r="B428" i="1"/>
  <c r="C428" i="1"/>
  <c r="D428" i="1"/>
  <c r="E428" i="1"/>
  <c r="F428" i="1"/>
  <c r="G428" i="1"/>
  <c r="H428" i="1"/>
  <c r="I428" i="1"/>
  <c r="J428" i="1"/>
  <c r="A429" i="1"/>
  <c r="B429" i="1"/>
  <c r="C429" i="1"/>
  <c r="D429" i="1"/>
  <c r="E429" i="1"/>
  <c r="F429" i="1"/>
  <c r="G429" i="1"/>
  <c r="H429" i="1"/>
  <c r="I429" i="1"/>
  <c r="J429" i="1"/>
  <c r="A430" i="1"/>
  <c r="B430" i="1"/>
  <c r="C430" i="1"/>
  <c r="D430" i="1"/>
  <c r="E430" i="1"/>
  <c r="F430" i="1"/>
  <c r="G430" i="1"/>
  <c r="H430" i="1"/>
  <c r="I430" i="1"/>
  <c r="J430" i="1"/>
  <c r="A431" i="1"/>
  <c r="B431" i="1"/>
  <c r="C431" i="1"/>
  <c r="D431" i="1"/>
  <c r="E431" i="1"/>
  <c r="F431" i="1"/>
  <c r="G431" i="1"/>
  <c r="H431" i="1"/>
  <c r="I431" i="1"/>
  <c r="J431" i="1"/>
  <c r="A432" i="1"/>
  <c r="B432" i="1"/>
  <c r="C432" i="1"/>
  <c r="D432" i="1"/>
  <c r="E432" i="1"/>
  <c r="F432" i="1"/>
  <c r="G432" i="1"/>
  <c r="H432" i="1"/>
  <c r="I432" i="1"/>
  <c r="J432" i="1"/>
  <c r="A433" i="1"/>
  <c r="B433" i="1"/>
  <c r="C433" i="1"/>
  <c r="D433" i="1"/>
  <c r="E433" i="1"/>
  <c r="F433" i="1"/>
  <c r="G433" i="1"/>
  <c r="H433" i="1"/>
  <c r="I433" i="1"/>
  <c r="J433" i="1"/>
  <c r="A434" i="1"/>
  <c r="B434" i="1"/>
  <c r="C434" i="1"/>
  <c r="D434" i="1"/>
  <c r="E434" i="1"/>
  <c r="F434" i="1"/>
  <c r="G434" i="1"/>
  <c r="H434" i="1"/>
  <c r="I434" i="1"/>
  <c r="J434" i="1"/>
  <c r="A435" i="1"/>
  <c r="B435" i="1"/>
  <c r="C435" i="1"/>
  <c r="D435" i="1"/>
  <c r="E435" i="1"/>
  <c r="F435" i="1"/>
  <c r="G435" i="1"/>
  <c r="H435" i="1"/>
  <c r="I435" i="1"/>
  <c r="J435" i="1"/>
  <c r="A436" i="1"/>
  <c r="B436" i="1"/>
  <c r="C436" i="1"/>
  <c r="D436" i="1"/>
  <c r="E436" i="1"/>
  <c r="F436" i="1"/>
  <c r="G436" i="1"/>
  <c r="H436" i="1"/>
  <c r="I436" i="1"/>
  <c r="J436" i="1"/>
  <c r="A437" i="1"/>
  <c r="B437" i="1"/>
  <c r="C437" i="1"/>
  <c r="D437" i="1"/>
  <c r="E437" i="1"/>
  <c r="F437" i="1"/>
  <c r="G437" i="1"/>
  <c r="H437" i="1"/>
  <c r="I437" i="1"/>
  <c r="J437" i="1"/>
  <c r="A438" i="1"/>
  <c r="B438" i="1"/>
  <c r="C438" i="1"/>
  <c r="D438" i="1"/>
  <c r="E438" i="1"/>
  <c r="F438" i="1"/>
  <c r="G438" i="1"/>
  <c r="H438" i="1"/>
  <c r="I438" i="1"/>
  <c r="J438" i="1"/>
  <c r="A439" i="1"/>
  <c r="B439" i="1"/>
  <c r="C439" i="1"/>
  <c r="D439" i="1"/>
  <c r="E439" i="1"/>
  <c r="F439" i="1"/>
  <c r="G439" i="1"/>
  <c r="H439" i="1"/>
  <c r="I439" i="1"/>
  <c r="J439" i="1"/>
  <c r="A440" i="1"/>
  <c r="B440" i="1"/>
  <c r="C440" i="1"/>
  <c r="D440" i="1"/>
  <c r="E440" i="1"/>
  <c r="F440" i="1"/>
  <c r="G440" i="1"/>
  <c r="H440" i="1"/>
  <c r="I440" i="1"/>
  <c r="J440" i="1"/>
  <c r="A441" i="1"/>
  <c r="B441" i="1"/>
  <c r="C441" i="1"/>
  <c r="D441" i="1"/>
  <c r="E441" i="1"/>
  <c r="F441" i="1"/>
  <c r="G441" i="1"/>
  <c r="H441" i="1"/>
  <c r="I441" i="1"/>
  <c r="J441" i="1"/>
  <c r="A442" i="1"/>
  <c r="B442" i="1"/>
  <c r="C442" i="1"/>
  <c r="D442" i="1"/>
  <c r="E442" i="1"/>
  <c r="F442" i="1"/>
  <c r="G442" i="1"/>
  <c r="H442" i="1"/>
  <c r="I442" i="1"/>
  <c r="J442" i="1"/>
  <c r="A443" i="1"/>
  <c r="B443" i="1"/>
  <c r="C443" i="1"/>
  <c r="D443" i="1"/>
  <c r="E443" i="1"/>
  <c r="F443" i="1"/>
  <c r="G443" i="1"/>
  <c r="H443" i="1"/>
  <c r="I443" i="1"/>
  <c r="J443" i="1"/>
  <c r="A444" i="1"/>
  <c r="B444" i="1"/>
  <c r="C444" i="1"/>
  <c r="D444" i="1"/>
  <c r="E444" i="1"/>
  <c r="F444" i="1"/>
  <c r="G444" i="1"/>
  <c r="H444" i="1"/>
  <c r="I444" i="1"/>
  <c r="J444" i="1"/>
  <c r="A445" i="1"/>
  <c r="B445" i="1"/>
  <c r="C445" i="1"/>
  <c r="D445" i="1"/>
  <c r="E445" i="1"/>
  <c r="F445" i="1"/>
  <c r="G445" i="1"/>
  <c r="H445" i="1"/>
  <c r="I445" i="1"/>
  <c r="J445" i="1"/>
  <c r="A446" i="1"/>
  <c r="B446" i="1"/>
  <c r="C446" i="1"/>
  <c r="D446" i="1"/>
  <c r="E446" i="1"/>
  <c r="F446" i="1"/>
  <c r="G446" i="1"/>
  <c r="H446" i="1"/>
  <c r="I446" i="1"/>
  <c r="J446" i="1"/>
  <c r="A447" i="1"/>
  <c r="B447" i="1"/>
  <c r="C447" i="1"/>
  <c r="D447" i="1"/>
  <c r="E447" i="1"/>
  <c r="F447" i="1"/>
  <c r="G447" i="1"/>
  <c r="H447" i="1"/>
  <c r="I447" i="1"/>
  <c r="J447" i="1"/>
  <c r="A448" i="1"/>
  <c r="B448" i="1"/>
  <c r="C448" i="1"/>
  <c r="D448" i="1"/>
  <c r="E448" i="1"/>
  <c r="F448" i="1"/>
  <c r="G448" i="1"/>
  <c r="H448" i="1"/>
  <c r="I448" i="1"/>
  <c r="J448" i="1"/>
  <c r="A449" i="1"/>
  <c r="B449" i="1"/>
  <c r="C449" i="1"/>
  <c r="D449" i="1"/>
  <c r="E449" i="1"/>
  <c r="F449" i="1"/>
  <c r="G449" i="1"/>
  <c r="H449" i="1"/>
  <c r="I449" i="1"/>
  <c r="J449" i="1"/>
  <c r="A450" i="1"/>
  <c r="B450" i="1"/>
  <c r="C450" i="1"/>
  <c r="D450" i="1"/>
  <c r="E450" i="1"/>
  <c r="F450" i="1"/>
  <c r="G450" i="1"/>
  <c r="H450" i="1"/>
  <c r="I450" i="1"/>
  <c r="J450" i="1"/>
  <c r="A451" i="1"/>
  <c r="B451" i="1"/>
  <c r="C451" i="1"/>
  <c r="D451" i="1"/>
  <c r="E451" i="1"/>
  <c r="F451" i="1"/>
  <c r="G451" i="1"/>
  <c r="H451" i="1"/>
  <c r="I451" i="1"/>
  <c r="J451" i="1"/>
  <c r="A452" i="1"/>
  <c r="B452" i="1"/>
  <c r="C452" i="1"/>
  <c r="D452" i="1"/>
  <c r="E452" i="1"/>
  <c r="F452" i="1"/>
  <c r="G452" i="1"/>
  <c r="H452" i="1"/>
  <c r="I452" i="1"/>
  <c r="J452" i="1"/>
  <c r="A453" i="1"/>
  <c r="B453" i="1"/>
  <c r="C453" i="1"/>
  <c r="D453" i="1"/>
  <c r="E453" i="1"/>
  <c r="F453" i="1"/>
  <c r="G453" i="1"/>
  <c r="H453" i="1"/>
  <c r="I453" i="1"/>
  <c r="J453" i="1"/>
  <c r="A454" i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J455" i="1"/>
  <c r="A456" i="1"/>
  <c r="B456" i="1"/>
  <c r="C456" i="1"/>
  <c r="D456" i="1"/>
  <c r="E456" i="1"/>
  <c r="F456" i="1"/>
  <c r="G456" i="1"/>
  <c r="H456" i="1"/>
  <c r="I456" i="1"/>
  <c r="J456" i="1"/>
  <c r="A457" i="1"/>
  <c r="B457" i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I458" i="1"/>
  <c r="J458" i="1"/>
  <c r="A459" i="1"/>
  <c r="B459" i="1"/>
  <c r="C459" i="1"/>
  <c r="D459" i="1"/>
  <c r="E459" i="1"/>
  <c r="F459" i="1"/>
  <c r="G459" i="1"/>
  <c r="H459" i="1"/>
  <c r="I459" i="1"/>
  <c r="J459" i="1"/>
  <c r="A460" i="1"/>
  <c r="B460" i="1"/>
  <c r="C460" i="1"/>
  <c r="D460" i="1"/>
  <c r="E460" i="1"/>
  <c r="F460" i="1"/>
  <c r="G460" i="1"/>
  <c r="H460" i="1"/>
  <c r="I460" i="1"/>
  <c r="J460" i="1"/>
  <c r="A461" i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H462" i="1"/>
  <c r="I462" i="1"/>
  <c r="J462" i="1"/>
  <c r="A463" i="1"/>
  <c r="B463" i="1"/>
  <c r="C463" i="1"/>
  <c r="D463" i="1"/>
  <c r="E463" i="1"/>
  <c r="F463" i="1"/>
  <c r="G463" i="1"/>
  <c r="H463" i="1"/>
  <c r="I463" i="1"/>
  <c r="J463" i="1"/>
  <c r="A464" i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A466" i="1"/>
  <c r="B466" i="1"/>
  <c r="C466" i="1"/>
  <c r="D466" i="1"/>
  <c r="E466" i="1"/>
  <c r="F466" i="1"/>
  <c r="G466" i="1"/>
  <c r="H466" i="1"/>
  <c r="I466" i="1"/>
  <c r="J466" i="1"/>
  <c r="A467" i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A469" i="1"/>
  <c r="B469" i="1"/>
  <c r="C469" i="1"/>
  <c r="D469" i="1"/>
  <c r="E469" i="1"/>
  <c r="F469" i="1"/>
  <c r="G469" i="1"/>
  <c r="H469" i="1"/>
  <c r="I469" i="1"/>
  <c r="J469" i="1"/>
  <c r="A470" i="1"/>
  <c r="B470" i="1"/>
  <c r="C470" i="1"/>
  <c r="D470" i="1"/>
  <c r="E470" i="1"/>
  <c r="F470" i="1"/>
  <c r="G470" i="1"/>
  <c r="H470" i="1"/>
  <c r="I470" i="1"/>
  <c r="J470" i="1"/>
  <c r="A471" i="1"/>
  <c r="B471" i="1"/>
  <c r="C471" i="1"/>
  <c r="D471" i="1"/>
  <c r="E471" i="1"/>
  <c r="F471" i="1"/>
  <c r="G471" i="1"/>
  <c r="H471" i="1"/>
  <c r="I471" i="1"/>
  <c r="J471" i="1"/>
  <c r="A472" i="1"/>
  <c r="B472" i="1"/>
  <c r="C472" i="1"/>
  <c r="D472" i="1"/>
  <c r="E472" i="1"/>
  <c r="F472" i="1"/>
  <c r="G472" i="1"/>
  <c r="H472" i="1"/>
  <c r="I472" i="1"/>
  <c r="J472" i="1"/>
  <c r="A473" i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I474" i="1"/>
  <c r="J474" i="1"/>
  <c r="A475" i="1"/>
  <c r="B475" i="1"/>
  <c r="C475" i="1"/>
  <c r="D475" i="1"/>
  <c r="E475" i="1"/>
  <c r="F475" i="1"/>
  <c r="G475" i="1"/>
  <c r="H475" i="1"/>
  <c r="I475" i="1"/>
  <c r="J475" i="1"/>
  <c r="A476" i="1"/>
  <c r="B476" i="1"/>
  <c r="C476" i="1"/>
  <c r="D476" i="1"/>
  <c r="E476" i="1"/>
  <c r="F476" i="1"/>
  <c r="G476" i="1"/>
  <c r="H476" i="1"/>
  <c r="I476" i="1"/>
  <c r="J476" i="1"/>
  <c r="A477" i="1"/>
  <c r="B477" i="1"/>
  <c r="C477" i="1"/>
  <c r="D477" i="1"/>
  <c r="E477" i="1"/>
  <c r="F477" i="1"/>
  <c r="G477" i="1"/>
  <c r="H477" i="1"/>
  <c r="I477" i="1"/>
  <c r="J477" i="1"/>
  <c r="A478" i="1"/>
  <c r="B478" i="1"/>
  <c r="C478" i="1"/>
  <c r="D478" i="1"/>
  <c r="E478" i="1"/>
  <c r="F478" i="1"/>
  <c r="G478" i="1"/>
  <c r="H478" i="1"/>
  <c r="I478" i="1"/>
  <c r="J478" i="1"/>
  <c r="A479" i="1"/>
  <c r="B479" i="1"/>
  <c r="C479" i="1"/>
  <c r="D479" i="1"/>
  <c r="E479" i="1"/>
  <c r="F479" i="1"/>
  <c r="G479" i="1"/>
  <c r="H479" i="1"/>
  <c r="I479" i="1"/>
  <c r="J479" i="1"/>
  <c r="A480" i="1"/>
  <c r="B480" i="1"/>
  <c r="C480" i="1"/>
  <c r="D480" i="1"/>
  <c r="E480" i="1"/>
  <c r="F480" i="1"/>
  <c r="G480" i="1"/>
  <c r="H480" i="1"/>
  <c r="I480" i="1"/>
  <c r="J480" i="1"/>
  <c r="A481" i="1"/>
  <c r="B481" i="1"/>
  <c r="C481" i="1"/>
  <c r="D481" i="1"/>
  <c r="E481" i="1"/>
  <c r="F481" i="1"/>
  <c r="G481" i="1"/>
  <c r="H481" i="1"/>
  <c r="I481" i="1"/>
  <c r="J481" i="1"/>
  <c r="A482" i="1"/>
  <c r="B482" i="1"/>
  <c r="C482" i="1"/>
  <c r="D482" i="1"/>
  <c r="E482" i="1"/>
  <c r="F482" i="1"/>
  <c r="G482" i="1"/>
  <c r="H482" i="1"/>
  <c r="I482" i="1"/>
  <c r="J482" i="1"/>
  <c r="A483" i="1"/>
  <c r="B483" i="1"/>
  <c r="C483" i="1"/>
  <c r="D483" i="1"/>
  <c r="E483" i="1"/>
  <c r="F483" i="1"/>
  <c r="G483" i="1"/>
  <c r="H483" i="1"/>
  <c r="I483" i="1"/>
  <c r="J483" i="1"/>
  <c r="A484" i="1"/>
  <c r="B484" i="1"/>
  <c r="C484" i="1"/>
  <c r="D484" i="1"/>
  <c r="E484" i="1"/>
  <c r="F484" i="1"/>
  <c r="G484" i="1"/>
  <c r="H484" i="1"/>
  <c r="I484" i="1"/>
  <c r="J484" i="1"/>
  <c r="A485" i="1"/>
  <c r="B485" i="1"/>
  <c r="C485" i="1"/>
  <c r="D485" i="1"/>
  <c r="E485" i="1"/>
  <c r="F485" i="1"/>
  <c r="G485" i="1"/>
  <c r="H485" i="1"/>
  <c r="I485" i="1"/>
  <c r="J485" i="1"/>
  <c r="A486" i="1"/>
  <c r="B486" i="1"/>
  <c r="C486" i="1"/>
  <c r="D486" i="1"/>
  <c r="E486" i="1"/>
  <c r="F486" i="1"/>
  <c r="G486" i="1"/>
  <c r="H486" i="1"/>
  <c r="I486" i="1"/>
  <c r="J486" i="1"/>
  <c r="A487" i="1"/>
  <c r="B487" i="1"/>
  <c r="C487" i="1"/>
  <c r="D487" i="1"/>
  <c r="E487" i="1"/>
  <c r="F487" i="1"/>
  <c r="G487" i="1"/>
  <c r="H487" i="1"/>
  <c r="I487" i="1"/>
  <c r="J487" i="1"/>
  <c r="A488" i="1"/>
  <c r="B488" i="1"/>
  <c r="C488" i="1"/>
  <c r="D488" i="1"/>
  <c r="E488" i="1"/>
  <c r="F488" i="1"/>
  <c r="G488" i="1"/>
  <c r="H488" i="1"/>
  <c r="I488" i="1"/>
  <c r="J488" i="1"/>
  <c r="A489" i="1"/>
  <c r="B489" i="1"/>
  <c r="C489" i="1"/>
  <c r="D489" i="1"/>
  <c r="E489" i="1"/>
  <c r="F489" i="1"/>
  <c r="G489" i="1"/>
  <c r="H489" i="1"/>
  <c r="I489" i="1"/>
  <c r="J489" i="1"/>
  <c r="A490" i="1"/>
  <c r="B490" i="1"/>
  <c r="C490" i="1"/>
  <c r="D490" i="1"/>
  <c r="E490" i="1"/>
  <c r="F490" i="1"/>
  <c r="G490" i="1"/>
  <c r="H490" i="1"/>
  <c r="I490" i="1"/>
  <c r="J490" i="1"/>
  <c r="A491" i="1"/>
  <c r="B491" i="1"/>
  <c r="C491" i="1"/>
  <c r="D491" i="1"/>
  <c r="E491" i="1"/>
  <c r="F491" i="1"/>
  <c r="G491" i="1"/>
  <c r="H491" i="1"/>
  <c r="I491" i="1"/>
  <c r="J491" i="1"/>
  <c r="A492" i="1"/>
  <c r="B492" i="1"/>
  <c r="C492" i="1"/>
  <c r="D492" i="1"/>
  <c r="E492" i="1"/>
  <c r="F492" i="1"/>
  <c r="G492" i="1"/>
  <c r="H492" i="1"/>
  <c r="I492" i="1"/>
  <c r="J492" i="1"/>
  <c r="A493" i="1"/>
  <c r="B493" i="1"/>
  <c r="C493" i="1"/>
  <c r="D493" i="1"/>
  <c r="E493" i="1"/>
  <c r="F493" i="1"/>
  <c r="G493" i="1"/>
  <c r="H493" i="1"/>
  <c r="I493" i="1"/>
  <c r="J493" i="1"/>
  <c r="A494" i="1"/>
  <c r="B494" i="1"/>
  <c r="C494" i="1"/>
  <c r="D494" i="1"/>
  <c r="E494" i="1"/>
  <c r="F494" i="1"/>
  <c r="G494" i="1"/>
  <c r="H494" i="1"/>
  <c r="I494" i="1"/>
  <c r="J494" i="1"/>
  <c r="A495" i="1"/>
  <c r="B495" i="1"/>
  <c r="C495" i="1"/>
  <c r="D495" i="1"/>
  <c r="E495" i="1"/>
  <c r="F495" i="1"/>
  <c r="G495" i="1"/>
  <c r="H495" i="1"/>
  <c r="I495" i="1"/>
  <c r="J495" i="1"/>
  <c r="A496" i="1"/>
  <c r="B496" i="1"/>
  <c r="C496" i="1"/>
  <c r="D496" i="1"/>
  <c r="E496" i="1"/>
  <c r="F496" i="1"/>
  <c r="G496" i="1"/>
  <c r="H496" i="1"/>
  <c r="I496" i="1"/>
  <c r="J496" i="1"/>
  <c r="A497" i="1"/>
  <c r="B497" i="1"/>
  <c r="C497" i="1"/>
  <c r="D497" i="1"/>
  <c r="E497" i="1"/>
  <c r="F497" i="1"/>
  <c r="G497" i="1"/>
  <c r="H497" i="1"/>
  <c r="I497" i="1"/>
  <c r="J497" i="1"/>
  <c r="A498" i="1"/>
  <c r="B498" i="1"/>
  <c r="C498" i="1"/>
  <c r="D498" i="1"/>
  <c r="E498" i="1"/>
  <c r="F498" i="1"/>
  <c r="G498" i="1"/>
  <c r="H498" i="1"/>
  <c r="I498" i="1"/>
  <c r="J498" i="1"/>
  <c r="A499" i="1"/>
  <c r="B499" i="1"/>
  <c r="C499" i="1"/>
  <c r="D499" i="1"/>
  <c r="E499" i="1"/>
  <c r="F499" i="1"/>
  <c r="G499" i="1"/>
  <c r="H499" i="1"/>
  <c r="I499" i="1"/>
  <c r="J499" i="1"/>
  <c r="A500" i="1"/>
  <c r="B500" i="1"/>
  <c r="C500" i="1"/>
  <c r="D500" i="1"/>
  <c r="E500" i="1"/>
  <c r="F500" i="1"/>
  <c r="G500" i="1"/>
  <c r="H500" i="1"/>
  <c r="I500" i="1"/>
  <c r="J500" i="1"/>
  <c r="A501" i="1"/>
  <c r="B501" i="1"/>
  <c r="C501" i="1"/>
  <c r="D501" i="1"/>
  <c r="E501" i="1"/>
  <c r="F501" i="1"/>
  <c r="G501" i="1"/>
  <c r="H501" i="1"/>
  <c r="I501" i="1"/>
  <c r="J501" i="1"/>
  <c r="A502" i="1"/>
  <c r="B502" i="1"/>
  <c r="C502" i="1"/>
  <c r="D502" i="1"/>
  <c r="E502" i="1"/>
  <c r="F502" i="1"/>
  <c r="G502" i="1"/>
  <c r="H502" i="1"/>
  <c r="I502" i="1"/>
  <c r="J502" i="1"/>
  <c r="A503" i="1"/>
  <c r="B503" i="1"/>
  <c r="C503" i="1"/>
  <c r="D503" i="1"/>
  <c r="E503" i="1"/>
  <c r="F503" i="1"/>
  <c r="G503" i="1"/>
  <c r="H503" i="1"/>
  <c r="I503" i="1"/>
  <c r="J503" i="1"/>
  <c r="A504" i="1"/>
  <c r="B504" i="1"/>
  <c r="C504" i="1"/>
  <c r="D504" i="1"/>
  <c r="E504" i="1"/>
  <c r="F504" i="1"/>
  <c r="G504" i="1"/>
  <c r="H504" i="1"/>
  <c r="I504" i="1"/>
  <c r="J504" i="1"/>
  <c r="A505" i="1"/>
  <c r="B505" i="1"/>
  <c r="C505" i="1"/>
  <c r="D505" i="1"/>
  <c r="E505" i="1"/>
  <c r="F505" i="1"/>
  <c r="G505" i="1"/>
  <c r="H505" i="1"/>
  <c r="I505" i="1"/>
  <c r="J505" i="1"/>
  <c r="A506" i="1"/>
  <c r="B506" i="1"/>
  <c r="C506" i="1"/>
  <c r="D506" i="1"/>
  <c r="E506" i="1"/>
  <c r="F506" i="1"/>
  <c r="G506" i="1"/>
  <c r="H506" i="1"/>
  <c r="I506" i="1"/>
  <c r="J506" i="1"/>
  <c r="A507" i="1"/>
  <c r="B507" i="1"/>
  <c r="C507" i="1"/>
  <c r="D507" i="1"/>
  <c r="E507" i="1"/>
  <c r="F507" i="1"/>
  <c r="G507" i="1"/>
  <c r="H507" i="1"/>
  <c r="I507" i="1"/>
  <c r="J507" i="1"/>
  <c r="A508" i="1"/>
  <c r="B508" i="1"/>
  <c r="C508" i="1"/>
  <c r="D508" i="1"/>
  <c r="E508" i="1"/>
  <c r="F508" i="1"/>
  <c r="G508" i="1"/>
  <c r="H508" i="1"/>
  <c r="I508" i="1"/>
  <c r="J508" i="1"/>
  <c r="A509" i="1"/>
  <c r="B509" i="1"/>
  <c r="C509" i="1"/>
  <c r="D509" i="1"/>
  <c r="E509" i="1"/>
  <c r="F509" i="1"/>
  <c r="G509" i="1"/>
  <c r="H509" i="1"/>
  <c r="I509" i="1"/>
  <c r="J509" i="1"/>
  <c r="A510" i="1"/>
  <c r="B510" i="1"/>
  <c r="C510" i="1"/>
  <c r="D510" i="1"/>
  <c r="E510" i="1"/>
  <c r="F510" i="1"/>
  <c r="G510" i="1"/>
  <c r="H510" i="1"/>
  <c r="I510" i="1"/>
  <c r="J510" i="1"/>
  <c r="A511" i="1"/>
  <c r="B511" i="1"/>
  <c r="C511" i="1"/>
  <c r="D511" i="1"/>
  <c r="E511" i="1"/>
  <c r="F511" i="1"/>
  <c r="G511" i="1"/>
  <c r="H511" i="1"/>
  <c r="I511" i="1"/>
  <c r="J511" i="1"/>
  <c r="A512" i="1"/>
  <c r="B512" i="1"/>
  <c r="C512" i="1"/>
  <c r="D512" i="1"/>
  <c r="E512" i="1"/>
  <c r="F512" i="1"/>
  <c r="G512" i="1"/>
  <c r="H512" i="1"/>
  <c r="I512" i="1"/>
  <c r="J512" i="1"/>
  <c r="A513" i="1"/>
  <c r="B513" i="1"/>
  <c r="C513" i="1"/>
  <c r="D513" i="1"/>
  <c r="E513" i="1"/>
  <c r="F513" i="1"/>
  <c r="G513" i="1"/>
  <c r="H513" i="1"/>
  <c r="I513" i="1"/>
  <c r="J513" i="1"/>
  <c r="A514" i="1"/>
  <c r="B514" i="1"/>
  <c r="C514" i="1"/>
  <c r="D514" i="1"/>
  <c r="E514" i="1"/>
  <c r="F514" i="1"/>
  <c r="G514" i="1"/>
  <c r="H514" i="1"/>
  <c r="I514" i="1"/>
  <c r="J514" i="1"/>
  <c r="A515" i="1"/>
  <c r="B515" i="1"/>
  <c r="C515" i="1"/>
  <c r="D515" i="1"/>
  <c r="E515" i="1"/>
  <c r="F515" i="1"/>
  <c r="G515" i="1"/>
  <c r="H515" i="1"/>
  <c r="I515" i="1"/>
  <c r="J515" i="1"/>
  <c r="A516" i="1"/>
  <c r="B516" i="1"/>
  <c r="C516" i="1"/>
  <c r="D516" i="1"/>
  <c r="E516" i="1"/>
  <c r="F516" i="1"/>
  <c r="G516" i="1"/>
  <c r="H516" i="1"/>
  <c r="I516" i="1"/>
  <c r="J516" i="1"/>
  <c r="A517" i="1"/>
  <c r="B517" i="1"/>
  <c r="C517" i="1"/>
  <c r="D517" i="1"/>
  <c r="E517" i="1"/>
  <c r="F517" i="1"/>
  <c r="G517" i="1"/>
  <c r="H517" i="1"/>
  <c r="I517" i="1"/>
  <c r="J517" i="1"/>
  <c r="A518" i="1"/>
  <c r="B518" i="1"/>
  <c r="C518" i="1"/>
  <c r="D518" i="1"/>
  <c r="E518" i="1"/>
  <c r="F518" i="1"/>
  <c r="G518" i="1"/>
  <c r="H518" i="1"/>
  <c r="I518" i="1"/>
  <c r="J518" i="1"/>
  <c r="A519" i="1"/>
  <c r="B519" i="1"/>
  <c r="C519" i="1"/>
  <c r="D519" i="1"/>
  <c r="E519" i="1"/>
  <c r="F519" i="1"/>
  <c r="G519" i="1"/>
  <c r="H519" i="1"/>
  <c r="I519" i="1"/>
  <c r="J519" i="1"/>
  <c r="A520" i="1"/>
  <c r="B520" i="1"/>
  <c r="C520" i="1"/>
  <c r="D520" i="1"/>
  <c r="E520" i="1"/>
  <c r="F520" i="1"/>
  <c r="G520" i="1"/>
  <c r="H520" i="1"/>
  <c r="I520" i="1"/>
  <c r="J520" i="1"/>
  <c r="A521" i="1"/>
  <c r="B521" i="1"/>
  <c r="C521" i="1"/>
  <c r="D521" i="1"/>
  <c r="E521" i="1"/>
  <c r="F521" i="1"/>
  <c r="G521" i="1"/>
  <c r="H521" i="1"/>
  <c r="I521" i="1"/>
  <c r="J521" i="1"/>
  <c r="A522" i="1"/>
  <c r="B522" i="1"/>
  <c r="C522" i="1"/>
  <c r="D522" i="1"/>
  <c r="E522" i="1"/>
  <c r="F522" i="1"/>
  <c r="G522" i="1"/>
  <c r="H522" i="1"/>
  <c r="I522" i="1"/>
  <c r="J522" i="1"/>
  <c r="A523" i="1"/>
  <c r="B523" i="1"/>
  <c r="C523" i="1"/>
  <c r="D523" i="1"/>
  <c r="E523" i="1"/>
  <c r="F523" i="1"/>
  <c r="G523" i="1"/>
  <c r="H523" i="1"/>
  <c r="I523" i="1"/>
  <c r="J523" i="1"/>
  <c r="A524" i="1"/>
  <c r="B524" i="1"/>
  <c r="C524" i="1"/>
  <c r="D524" i="1"/>
  <c r="E524" i="1"/>
  <c r="F524" i="1"/>
  <c r="G524" i="1"/>
  <c r="H524" i="1"/>
  <c r="I524" i="1"/>
  <c r="J524" i="1"/>
  <c r="A525" i="1"/>
  <c r="B525" i="1"/>
  <c r="C525" i="1"/>
  <c r="D525" i="1"/>
  <c r="E525" i="1"/>
  <c r="F525" i="1"/>
  <c r="G525" i="1"/>
  <c r="H525" i="1"/>
  <c r="I525" i="1"/>
  <c r="J525" i="1"/>
  <c r="A526" i="1"/>
  <c r="B526" i="1"/>
  <c r="C526" i="1"/>
  <c r="D526" i="1"/>
  <c r="E526" i="1"/>
  <c r="F526" i="1"/>
  <c r="G526" i="1"/>
  <c r="H526" i="1"/>
  <c r="I526" i="1"/>
  <c r="J526" i="1"/>
  <c r="A527" i="1"/>
  <c r="B527" i="1"/>
  <c r="C527" i="1"/>
  <c r="D527" i="1"/>
  <c r="E527" i="1"/>
  <c r="F527" i="1"/>
  <c r="G527" i="1"/>
  <c r="H527" i="1"/>
  <c r="I527" i="1"/>
  <c r="J527" i="1"/>
  <c r="A528" i="1"/>
  <c r="B528" i="1"/>
  <c r="C528" i="1"/>
  <c r="D528" i="1"/>
  <c r="E528" i="1"/>
  <c r="F528" i="1"/>
  <c r="G528" i="1"/>
  <c r="H528" i="1"/>
  <c r="I528" i="1"/>
  <c r="J528" i="1"/>
  <c r="A529" i="1"/>
  <c r="B529" i="1"/>
  <c r="C529" i="1"/>
  <c r="D529" i="1"/>
  <c r="E529" i="1"/>
  <c r="F529" i="1"/>
  <c r="G529" i="1"/>
  <c r="H529" i="1"/>
  <c r="I529" i="1"/>
  <c r="J529" i="1"/>
  <c r="A530" i="1"/>
  <c r="B530" i="1"/>
  <c r="C530" i="1"/>
  <c r="D530" i="1"/>
  <c r="E530" i="1"/>
  <c r="F530" i="1"/>
  <c r="G530" i="1"/>
  <c r="H530" i="1"/>
  <c r="I530" i="1"/>
  <c r="J530" i="1"/>
  <c r="A531" i="1"/>
  <c r="B531" i="1"/>
  <c r="C531" i="1"/>
  <c r="D531" i="1"/>
  <c r="E531" i="1"/>
  <c r="F531" i="1"/>
  <c r="G531" i="1"/>
  <c r="H531" i="1"/>
  <c r="I531" i="1"/>
  <c r="J531" i="1"/>
  <c r="A532" i="1"/>
  <c r="B532" i="1"/>
  <c r="C532" i="1"/>
  <c r="D532" i="1"/>
  <c r="E532" i="1"/>
  <c r="F532" i="1"/>
  <c r="G532" i="1"/>
  <c r="H532" i="1"/>
  <c r="I532" i="1"/>
  <c r="J532" i="1"/>
  <c r="A533" i="1"/>
  <c r="B533" i="1"/>
  <c r="C533" i="1"/>
  <c r="D533" i="1"/>
  <c r="E533" i="1"/>
  <c r="F533" i="1"/>
  <c r="G533" i="1"/>
  <c r="H533" i="1"/>
  <c r="I533" i="1"/>
  <c r="J533" i="1"/>
  <c r="A534" i="1"/>
  <c r="B534" i="1"/>
  <c r="C534" i="1"/>
  <c r="D534" i="1"/>
  <c r="E534" i="1"/>
  <c r="F534" i="1"/>
  <c r="G534" i="1"/>
  <c r="H534" i="1"/>
  <c r="I534" i="1"/>
  <c r="J534" i="1"/>
  <c r="A535" i="1"/>
  <c r="B535" i="1"/>
  <c r="C535" i="1"/>
  <c r="D535" i="1"/>
  <c r="E535" i="1"/>
  <c r="F535" i="1"/>
  <c r="G535" i="1"/>
  <c r="H535" i="1"/>
  <c r="I535" i="1"/>
  <c r="J535" i="1"/>
  <c r="A536" i="1"/>
  <c r="B536" i="1"/>
  <c r="C536" i="1"/>
  <c r="D536" i="1"/>
  <c r="E536" i="1"/>
  <c r="F536" i="1"/>
  <c r="G536" i="1"/>
  <c r="H536" i="1"/>
  <c r="I536" i="1"/>
  <c r="J536" i="1"/>
  <c r="A537" i="1"/>
  <c r="B537" i="1"/>
  <c r="C537" i="1"/>
  <c r="D537" i="1"/>
  <c r="E537" i="1"/>
  <c r="F537" i="1"/>
  <c r="G537" i="1"/>
  <c r="H537" i="1"/>
  <c r="I537" i="1"/>
  <c r="J537" i="1"/>
  <c r="A538" i="1"/>
  <c r="B538" i="1"/>
  <c r="C538" i="1"/>
  <c r="D538" i="1"/>
  <c r="E538" i="1"/>
  <c r="F538" i="1"/>
  <c r="G538" i="1"/>
  <c r="H538" i="1"/>
  <c r="I538" i="1"/>
  <c r="J538" i="1"/>
  <c r="A539" i="1"/>
  <c r="B539" i="1"/>
  <c r="C539" i="1"/>
  <c r="D539" i="1"/>
  <c r="E539" i="1"/>
  <c r="F539" i="1"/>
  <c r="G539" i="1"/>
  <c r="H539" i="1"/>
  <c r="I539" i="1"/>
  <c r="J539" i="1"/>
  <c r="A540" i="1"/>
  <c r="B540" i="1"/>
  <c r="C540" i="1"/>
  <c r="D540" i="1"/>
  <c r="E540" i="1"/>
  <c r="F540" i="1"/>
  <c r="G540" i="1"/>
  <c r="H540" i="1"/>
  <c r="I540" i="1"/>
  <c r="J540" i="1"/>
  <c r="A541" i="1"/>
  <c r="B541" i="1"/>
  <c r="C541" i="1"/>
  <c r="D541" i="1"/>
  <c r="E541" i="1"/>
  <c r="F541" i="1"/>
  <c r="G541" i="1"/>
  <c r="H541" i="1"/>
  <c r="I541" i="1"/>
  <c r="J541" i="1"/>
  <c r="A542" i="1"/>
  <c r="B542" i="1"/>
  <c r="C542" i="1"/>
  <c r="D542" i="1"/>
  <c r="E542" i="1"/>
  <c r="F542" i="1"/>
  <c r="G542" i="1"/>
  <c r="H542" i="1"/>
  <c r="I542" i="1"/>
  <c r="J542" i="1"/>
  <c r="A543" i="1"/>
  <c r="B543" i="1"/>
  <c r="C543" i="1"/>
  <c r="D543" i="1"/>
  <c r="E543" i="1"/>
  <c r="F543" i="1"/>
  <c r="G543" i="1"/>
  <c r="H543" i="1"/>
  <c r="I543" i="1"/>
  <c r="J543" i="1"/>
  <c r="A544" i="1"/>
  <c r="B544" i="1"/>
  <c r="C544" i="1"/>
  <c r="D544" i="1"/>
  <c r="E544" i="1"/>
  <c r="F544" i="1"/>
  <c r="G544" i="1"/>
  <c r="H544" i="1"/>
  <c r="I544" i="1"/>
  <c r="J544" i="1"/>
  <c r="A545" i="1"/>
  <c r="B545" i="1"/>
  <c r="C545" i="1"/>
  <c r="D545" i="1"/>
  <c r="E545" i="1"/>
  <c r="F545" i="1"/>
  <c r="G545" i="1"/>
  <c r="H545" i="1"/>
  <c r="I545" i="1"/>
  <c r="J545" i="1"/>
  <c r="A546" i="1"/>
  <c r="B546" i="1"/>
  <c r="C546" i="1"/>
  <c r="D546" i="1"/>
  <c r="E546" i="1"/>
  <c r="F546" i="1"/>
  <c r="G546" i="1"/>
  <c r="H546" i="1"/>
  <c r="I546" i="1"/>
  <c r="J546" i="1"/>
  <c r="A547" i="1"/>
  <c r="B547" i="1"/>
  <c r="C547" i="1"/>
  <c r="D547" i="1"/>
  <c r="E547" i="1"/>
  <c r="F547" i="1"/>
  <c r="G547" i="1"/>
  <c r="H547" i="1"/>
  <c r="I547" i="1"/>
  <c r="J547" i="1"/>
  <c r="A548" i="1"/>
  <c r="B548" i="1"/>
  <c r="C548" i="1"/>
  <c r="D548" i="1"/>
  <c r="E548" i="1"/>
  <c r="F548" i="1"/>
  <c r="G548" i="1"/>
  <c r="H548" i="1"/>
  <c r="I548" i="1"/>
  <c r="J548" i="1"/>
  <c r="A549" i="1"/>
  <c r="B549" i="1"/>
  <c r="C549" i="1"/>
  <c r="D549" i="1"/>
  <c r="E549" i="1"/>
  <c r="F549" i="1"/>
  <c r="G549" i="1"/>
  <c r="H549" i="1"/>
  <c r="I549" i="1"/>
  <c r="J549" i="1"/>
  <c r="A550" i="1"/>
  <c r="B550" i="1"/>
  <c r="C550" i="1"/>
  <c r="D550" i="1"/>
  <c r="E550" i="1"/>
  <c r="F550" i="1"/>
  <c r="G550" i="1"/>
  <c r="H550" i="1"/>
  <c r="I550" i="1"/>
  <c r="J550" i="1"/>
  <c r="A551" i="1"/>
  <c r="B551" i="1"/>
  <c r="C551" i="1"/>
  <c r="D551" i="1"/>
  <c r="E551" i="1"/>
  <c r="F551" i="1"/>
  <c r="G551" i="1"/>
  <c r="H551" i="1"/>
  <c r="I551" i="1"/>
  <c r="J551" i="1"/>
  <c r="A552" i="1"/>
  <c r="B552" i="1"/>
  <c r="C552" i="1"/>
  <c r="D552" i="1"/>
  <c r="E552" i="1"/>
  <c r="F552" i="1"/>
  <c r="G552" i="1"/>
  <c r="H552" i="1"/>
  <c r="I552" i="1"/>
  <c r="J552" i="1"/>
  <c r="A553" i="1"/>
  <c r="B553" i="1"/>
  <c r="C553" i="1"/>
  <c r="D553" i="1"/>
  <c r="E553" i="1"/>
  <c r="F553" i="1"/>
  <c r="G553" i="1"/>
  <c r="H553" i="1"/>
  <c r="I553" i="1"/>
  <c r="J553" i="1"/>
  <c r="A554" i="1"/>
  <c r="B554" i="1"/>
  <c r="C554" i="1"/>
  <c r="D554" i="1"/>
  <c r="E554" i="1"/>
  <c r="F554" i="1"/>
  <c r="G554" i="1"/>
  <c r="H554" i="1"/>
  <c r="I554" i="1"/>
  <c r="J554" i="1"/>
  <c r="A555" i="1"/>
  <c r="B555" i="1"/>
  <c r="C555" i="1"/>
  <c r="D555" i="1"/>
  <c r="E555" i="1"/>
  <c r="F555" i="1"/>
  <c r="G555" i="1"/>
  <c r="H555" i="1"/>
  <c r="I555" i="1"/>
  <c r="J555" i="1"/>
  <c r="A556" i="1"/>
  <c r="B556" i="1"/>
  <c r="C556" i="1"/>
  <c r="D556" i="1"/>
  <c r="E556" i="1"/>
  <c r="F556" i="1"/>
  <c r="G556" i="1"/>
  <c r="H556" i="1"/>
  <c r="I556" i="1"/>
  <c r="J556" i="1"/>
  <c r="A557" i="1"/>
  <c r="B557" i="1"/>
  <c r="C557" i="1"/>
  <c r="D557" i="1"/>
  <c r="E557" i="1"/>
  <c r="F557" i="1"/>
  <c r="G557" i="1"/>
  <c r="H557" i="1"/>
  <c r="I557" i="1"/>
  <c r="J557" i="1"/>
  <c r="A558" i="1"/>
  <c r="B558" i="1"/>
  <c r="C558" i="1"/>
  <c r="D558" i="1"/>
  <c r="E558" i="1"/>
  <c r="F558" i="1"/>
  <c r="G558" i="1"/>
  <c r="H558" i="1"/>
  <c r="I558" i="1"/>
  <c r="J558" i="1"/>
  <c r="A559" i="1"/>
  <c r="B559" i="1"/>
  <c r="C559" i="1"/>
  <c r="D559" i="1"/>
  <c r="E559" i="1"/>
  <c r="F559" i="1"/>
  <c r="G559" i="1"/>
  <c r="H559" i="1"/>
  <c r="I559" i="1"/>
  <c r="J559" i="1"/>
  <c r="A560" i="1"/>
  <c r="B560" i="1"/>
  <c r="C560" i="1"/>
  <c r="D560" i="1"/>
  <c r="E560" i="1"/>
  <c r="F560" i="1"/>
  <c r="G560" i="1"/>
  <c r="H560" i="1"/>
  <c r="I560" i="1"/>
  <c r="J560" i="1"/>
  <c r="A561" i="1"/>
  <c r="B561" i="1"/>
  <c r="C561" i="1"/>
  <c r="D561" i="1"/>
  <c r="E561" i="1"/>
  <c r="F561" i="1"/>
  <c r="G561" i="1"/>
  <c r="H561" i="1"/>
  <c r="I561" i="1"/>
  <c r="J561" i="1"/>
  <c r="A562" i="1"/>
  <c r="B562" i="1"/>
  <c r="C562" i="1"/>
  <c r="D562" i="1"/>
  <c r="E562" i="1"/>
  <c r="F562" i="1"/>
  <c r="G562" i="1"/>
  <c r="H562" i="1"/>
  <c r="I562" i="1"/>
  <c r="J562" i="1"/>
  <c r="A563" i="1"/>
  <c r="B563" i="1"/>
  <c r="C563" i="1"/>
  <c r="D563" i="1"/>
  <c r="E563" i="1"/>
  <c r="F563" i="1"/>
  <c r="G563" i="1"/>
  <c r="H563" i="1"/>
  <c r="I563" i="1"/>
  <c r="J563" i="1"/>
  <c r="A564" i="1"/>
  <c r="B564" i="1"/>
  <c r="C564" i="1"/>
  <c r="D564" i="1"/>
  <c r="E564" i="1"/>
  <c r="F564" i="1"/>
  <c r="G564" i="1"/>
  <c r="H564" i="1"/>
  <c r="I564" i="1"/>
  <c r="J564" i="1"/>
  <c r="A565" i="1"/>
  <c r="B565" i="1"/>
  <c r="C565" i="1"/>
  <c r="D565" i="1"/>
  <c r="E565" i="1"/>
  <c r="F565" i="1"/>
  <c r="G565" i="1"/>
  <c r="H565" i="1"/>
  <c r="I565" i="1"/>
  <c r="J565" i="1"/>
  <c r="A566" i="1"/>
  <c r="B566" i="1"/>
  <c r="C566" i="1"/>
  <c r="D566" i="1"/>
  <c r="E566" i="1"/>
  <c r="F566" i="1"/>
  <c r="G566" i="1"/>
  <c r="H566" i="1"/>
  <c r="I566" i="1"/>
  <c r="J566" i="1"/>
  <c r="A567" i="1"/>
  <c r="B567" i="1"/>
  <c r="C567" i="1"/>
  <c r="D567" i="1"/>
  <c r="E567" i="1"/>
  <c r="F567" i="1"/>
  <c r="G567" i="1"/>
  <c r="H567" i="1"/>
  <c r="I567" i="1"/>
  <c r="J567" i="1"/>
  <c r="A568" i="1"/>
  <c r="B568" i="1"/>
  <c r="C568" i="1"/>
  <c r="D568" i="1"/>
  <c r="E568" i="1"/>
  <c r="F568" i="1"/>
  <c r="G568" i="1"/>
  <c r="H568" i="1"/>
  <c r="I568" i="1"/>
  <c r="J568" i="1"/>
  <c r="A569" i="1"/>
  <c r="B569" i="1"/>
  <c r="C569" i="1"/>
  <c r="D569" i="1"/>
  <c r="E569" i="1"/>
  <c r="F569" i="1"/>
  <c r="G569" i="1"/>
  <c r="H569" i="1"/>
  <c r="I569" i="1"/>
  <c r="J569" i="1"/>
  <c r="A570" i="1"/>
  <c r="B570" i="1"/>
  <c r="C570" i="1"/>
  <c r="D570" i="1"/>
  <c r="E570" i="1"/>
  <c r="F570" i="1"/>
  <c r="G570" i="1"/>
  <c r="H570" i="1"/>
  <c r="I570" i="1"/>
  <c r="J570" i="1"/>
  <c r="A571" i="1"/>
  <c r="B571" i="1"/>
  <c r="C571" i="1"/>
  <c r="D571" i="1"/>
  <c r="E571" i="1"/>
  <c r="F571" i="1"/>
  <c r="G571" i="1"/>
  <c r="H571" i="1"/>
  <c r="I571" i="1"/>
  <c r="J571" i="1"/>
  <c r="A572" i="1"/>
  <c r="B572" i="1"/>
  <c r="C572" i="1"/>
  <c r="D572" i="1"/>
  <c r="E572" i="1"/>
  <c r="F572" i="1"/>
  <c r="G572" i="1"/>
  <c r="H572" i="1"/>
  <c r="I572" i="1"/>
  <c r="J572" i="1"/>
  <c r="A573" i="1"/>
  <c r="B573" i="1"/>
  <c r="C573" i="1"/>
  <c r="D573" i="1"/>
  <c r="E573" i="1"/>
  <c r="F573" i="1"/>
  <c r="G573" i="1"/>
  <c r="H573" i="1"/>
  <c r="I573" i="1"/>
  <c r="J573" i="1"/>
  <c r="A574" i="1"/>
  <c r="B574" i="1"/>
  <c r="C574" i="1"/>
  <c r="D574" i="1"/>
  <c r="E574" i="1"/>
  <c r="F574" i="1"/>
  <c r="G574" i="1"/>
  <c r="H574" i="1"/>
  <c r="I574" i="1"/>
  <c r="J574" i="1"/>
  <c r="A575" i="1"/>
  <c r="B575" i="1"/>
  <c r="C575" i="1"/>
  <c r="D575" i="1"/>
  <c r="E575" i="1"/>
  <c r="F575" i="1"/>
  <c r="G575" i="1"/>
  <c r="H575" i="1"/>
  <c r="I575" i="1"/>
  <c r="J575" i="1"/>
  <c r="A576" i="1"/>
  <c r="B576" i="1"/>
  <c r="C576" i="1"/>
  <c r="D576" i="1"/>
  <c r="E576" i="1"/>
  <c r="F576" i="1"/>
  <c r="G576" i="1"/>
  <c r="H576" i="1"/>
  <c r="I576" i="1"/>
  <c r="J576" i="1"/>
  <c r="A577" i="1"/>
  <c r="B577" i="1"/>
  <c r="C577" i="1"/>
  <c r="D577" i="1"/>
  <c r="E577" i="1"/>
  <c r="F577" i="1"/>
  <c r="G577" i="1"/>
  <c r="H577" i="1"/>
  <c r="I577" i="1"/>
  <c r="J577" i="1"/>
  <c r="A578" i="1"/>
  <c r="B578" i="1"/>
  <c r="C578" i="1"/>
  <c r="D578" i="1"/>
  <c r="E578" i="1"/>
  <c r="F578" i="1"/>
  <c r="G578" i="1"/>
  <c r="H578" i="1"/>
  <c r="I578" i="1"/>
  <c r="J578" i="1"/>
  <c r="A579" i="1"/>
  <c r="B579" i="1"/>
  <c r="C579" i="1"/>
  <c r="D579" i="1"/>
  <c r="E579" i="1"/>
  <c r="F579" i="1"/>
  <c r="G579" i="1"/>
  <c r="H579" i="1"/>
  <c r="I579" i="1"/>
  <c r="J579" i="1"/>
  <c r="A580" i="1"/>
  <c r="B580" i="1"/>
  <c r="C580" i="1"/>
  <c r="D580" i="1"/>
  <c r="E580" i="1"/>
  <c r="F580" i="1"/>
  <c r="G580" i="1"/>
  <c r="H580" i="1"/>
  <c r="I580" i="1"/>
  <c r="J580" i="1"/>
  <c r="A581" i="1"/>
  <c r="B581" i="1"/>
  <c r="C581" i="1"/>
  <c r="D581" i="1"/>
  <c r="E581" i="1"/>
  <c r="F581" i="1"/>
  <c r="G581" i="1"/>
  <c r="H581" i="1"/>
  <c r="I581" i="1"/>
  <c r="J581" i="1"/>
  <c r="A582" i="1"/>
  <c r="B582" i="1"/>
  <c r="C582" i="1"/>
  <c r="D582" i="1"/>
  <c r="E582" i="1"/>
  <c r="F582" i="1"/>
  <c r="G582" i="1"/>
  <c r="H582" i="1"/>
  <c r="I582" i="1"/>
  <c r="J582" i="1"/>
  <c r="A583" i="1"/>
  <c r="B583" i="1"/>
  <c r="C583" i="1"/>
  <c r="D583" i="1"/>
  <c r="E583" i="1"/>
  <c r="F583" i="1"/>
  <c r="G583" i="1"/>
  <c r="H583" i="1"/>
  <c r="I583" i="1"/>
  <c r="J583" i="1"/>
  <c r="A584" i="1"/>
  <c r="B584" i="1"/>
  <c r="C584" i="1"/>
  <c r="D584" i="1"/>
  <c r="E584" i="1"/>
  <c r="F584" i="1"/>
  <c r="G584" i="1"/>
  <c r="H584" i="1"/>
  <c r="I584" i="1"/>
  <c r="J584" i="1"/>
  <c r="A585" i="1"/>
  <c r="B585" i="1"/>
  <c r="C585" i="1"/>
  <c r="D585" i="1"/>
  <c r="E585" i="1"/>
  <c r="F585" i="1"/>
  <c r="G585" i="1"/>
  <c r="H585" i="1"/>
  <c r="I585" i="1"/>
  <c r="J585" i="1"/>
  <c r="A586" i="1"/>
  <c r="B586" i="1"/>
  <c r="C586" i="1"/>
  <c r="D586" i="1"/>
  <c r="E586" i="1"/>
  <c r="F586" i="1"/>
  <c r="G586" i="1"/>
  <c r="H586" i="1"/>
  <c r="I586" i="1"/>
  <c r="J586" i="1"/>
  <c r="A587" i="1"/>
  <c r="B587" i="1"/>
  <c r="C587" i="1"/>
  <c r="D587" i="1"/>
  <c r="E587" i="1"/>
  <c r="F587" i="1"/>
  <c r="G587" i="1"/>
  <c r="H587" i="1"/>
  <c r="I587" i="1"/>
  <c r="J587" i="1"/>
  <c r="A588" i="1"/>
  <c r="B588" i="1"/>
  <c r="C588" i="1"/>
  <c r="D588" i="1"/>
  <c r="E588" i="1"/>
  <c r="F588" i="1"/>
  <c r="G588" i="1"/>
  <c r="H588" i="1"/>
  <c r="I588" i="1"/>
  <c r="J588" i="1"/>
  <c r="A589" i="1"/>
  <c r="B589" i="1"/>
  <c r="C589" i="1"/>
  <c r="D589" i="1"/>
  <c r="E589" i="1"/>
  <c r="F589" i="1"/>
  <c r="G589" i="1"/>
  <c r="H589" i="1"/>
  <c r="I589" i="1"/>
  <c r="J589" i="1"/>
  <c r="A590" i="1"/>
  <c r="B590" i="1"/>
  <c r="C590" i="1"/>
  <c r="D590" i="1"/>
  <c r="E590" i="1"/>
  <c r="F590" i="1"/>
  <c r="G590" i="1"/>
  <c r="H590" i="1"/>
  <c r="I590" i="1"/>
  <c r="J590" i="1"/>
  <c r="A591" i="1"/>
  <c r="B591" i="1"/>
  <c r="C591" i="1"/>
  <c r="D591" i="1"/>
  <c r="E591" i="1"/>
  <c r="F591" i="1"/>
  <c r="G591" i="1"/>
  <c r="H591" i="1"/>
  <c r="I591" i="1"/>
  <c r="J591" i="1"/>
  <c r="A592" i="1"/>
  <c r="B592" i="1"/>
  <c r="C592" i="1"/>
  <c r="D592" i="1"/>
  <c r="E592" i="1"/>
  <c r="F592" i="1"/>
  <c r="G592" i="1"/>
  <c r="H592" i="1"/>
  <c r="I592" i="1"/>
  <c r="J592" i="1"/>
  <c r="A593" i="1"/>
  <c r="B593" i="1"/>
  <c r="C593" i="1"/>
  <c r="D593" i="1"/>
  <c r="E593" i="1"/>
  <c r="F593" i="1"/>
  <c r="G593" i="1"/>
  <c r="H593" i="1"/>
  <c r="I593" i="1"/>
  <c r="J593" i="1"/>
  <c r="A594" i="1"/>
  <c r="B594" i="1"/>
  <c r="C594" i="1"/>
  <c r="D594" i="1"/>
  <c r="E594" i="1"/>
  <c r="F594" i="1"/>
  <c r="G594" i="1"/>
  <c r="H594" i="1"/>
  <c r="I594" i="1"/>
  <c r="J594" i="1"/>
  <c r="A595" i="1"/>
  <c r="B595" i="1"/>
  <c r="C595" i="1"/>
  <c r="D595" i="1"/>
  <c r="E595" i="1"/>
  <c r="F595" i="1"/>
  <c r="G595" i="1"/>
  <c r="H595" i="1"/>
  <c r="I595" i="1"/>
  <c r="J595" i="1"/>
  <c r="A596" i="1"/>
  <c r="B596" i="1"/>
  <c r="C596" i="1"/>
  <c r="D596" i="1"/>
  <c r="E596" i="1"/>
  <c r="F596" i="1"/>
  <c r="G596" i="1"/>
  <c r="H596" i="1"/>
  <c r="I596" i="1"/>
  <c r="J596" i="1"/>
  <c r="A597" i="1"/>
  <c r="B597" i="1"/>
  <c r="C597" i="1"/>
  <c r="D597" i="1"/>
  <c r="E597" i="1"/>
  <c r="F597" i="1"/>
  <c r="G597" i="1"/>
  <c r="H597" i="1"/>
  <c r="I597" i="1"/>
  <c r="J597" i="1"/>
  <c r="A598" i="1"/>
  <c r="B598" i="1"/>
  <c r="C598" i="1"/>
  <c r="D598" i="1"/>
  <c r="E598" i="1"/>
  <c r="F598" i="1"/>
  <c r="G598" i="1"/>
  <c r="H598" i="1"/>
  <c r="I598" i="1"/>
  <c r="J598" i="1"/>
  <c r="A599" i="1"/>
  <c r="B599" i="1"/>
  <c r="C599" i="1"/>
  <c r="D599" i="1"/>
  <c r="E599" i="1"/>
  <c r="F599" i="1"/>
  <c r="G599" i="1"/>
  <c r="H599" i="1"/>
  <c r="I599" i="1"/>
  <c r="J599" i="1"/>
  <c r="A600" i="1"/>
  <c r="B600" i="1"/>
  <c r="C600" i="1"/>
  <c r="D600" i="1"/>
  <c r="E600" i="1"/>
  <c r="F600" i="1"/>
  <c r="G600" i="1"/>
  <c r="H600" i="1"/>
  <c r="I600" i="1"/>
  <c r="J600" i="1"/>
  <c r="A601" i="1"/>
  <c r="B601" i="1"/>
  <c r="C601" i="1"/>
  <c r="D601" i="1"/>
  <c r="E601" i="1"/>
  <c r="F601" i="1"/>
  <c r="G601" i="1"/>
  <c r="H601" i="1"/>
  <c r="I601" i="1"/>
  <c r="J601" i="1"/>
  <c r="A602" i="1"/>
  <c r="B602" i="1"/>
  <c r="C602" i="1"/>
  <c r="D602" i="1"/>
  <c r="E602" i="1"/>
  <c r="F602" i="1"/>
  <c r="G602" i="1"/>
  <c r="H602" i="1"/>
  <c r="I602" i="1"/>
  <c r="J602" i="1"/>
  <c r="A603" i="1"/>
  <c r="B603" i="1"/>
  <c r="C603" i="1"/>
  <c r="D603" i="1"/>
  <c r="E603" i="1"/>
  <c r="F603" i="1"/>
  <c r="G603" i="1"/>
  <c r="H603" i="1"/>
  <c r="I603" i="1"/>
  <c r="J603" i="1"/>
  <c r="A604" i="1"/>
  <c r="B604" i="1"/>
  <c r="C604" i="1"/>
  <c r="D604" i="1"/>
  <c r="E604" i="1"/>
  <c r="F604" i="1"/>
  <c r="G604" i="1"/>
  <c r="H604" i="1"/>
  <c r="I604" i="1"/>
  <c r="J604" i="1"/>
  <c r="A605" i="1"/>
  <c r="B605" i="1"/>
  <c r="C605" i="1"/>
  <c r="D605" i="1"/>
  <c r="E605" i="1"/>
  <c r="F605" i="1"/>
  <c r="G605" i="1"/>
  <c r="H605" i="1"/>
  <c r="I605" i="1"/>
  <c r="J605" i="1"/>
  <c r="A606" i="1"/>
  <c r="B606" i="1"/>
  <c r="C606" i="1"/>
  <c r="D606" i="1"/>
  <c r="E606" i="1"/>
  <c r="F606" i="1"/>
  <c r="G606" i="1"/>
  <c r="H606" i="1"/>
  <c r="I606" i="1"/>
  <c r="J606" i="1"/>
  <c r="A607" i="1"/>
  <c r="B607" i="1"/>
  <c r="C607" i="1"/>
  <c r="D607" i="1"/>
  <c r="E607" i="1"/>
  <c r="F607" i="1"/>
  <c r="G607" i="1"/>
  <c r="H607" i="1"/>
  <c r="I607" i="1"/>
  <c r="J607" i="1"/>
  <c r="A608" i="1"/>
  <c r="B608" i="1"/>
  <c r="C608" i="1"/>
  <c r="D608" i="1"/>
  <c r="E608" i="1"/>
  <c r="F608" i="1"/>
  <c r="G608" i="1"/>
  <c r="H608" i="1"/>
  <c r="I608" i="1"/>
  <c r="J608" i="1"/>
  <c r="A609" i="1"/>
  <c r="B609" i="1"/>
  <c r="C609" i="1"/>
  <c r="D609" i="1"/>
  <c r="E609" i="1"/>
  <c r="F609" i="1"/>
  <c r="G609" i="1"/>
  <c r="H609" i="1"/>
  <c r="I609" i="1"/>
  <c r="J609" i="1"/>
  <c r="A610" i="1"/>
  <c r="B610" i="1"/>
  <c r="C610" i="1"/>
  <c r="D610" i="1"/>
  <c r="E610" i="1"/>
  <c r="F610" i="1"/>
  <c r="G610" i="1"/>
  <c r="H610" i="1"/>
  <c r="I610" i="1"/>
  <c r="J610" i="1"/>
  <c r="A611" i="1"/>
  <c r="B611" i="1"/>
  <c r="C611" i="1"/>
  <c r="D611" i="1"/>
  <c r="E611" i="1"/>
  <c r="F611" i="1"/>
  <c r="G611" i="1"/>
  <c r="H611" i="1"/>
  <c r="I611" i="1"/>
  <c r="J611" i="1"/>
  <c r="A612" i="1"/>
  <c r="B612" i="1"/>
  <c r="C612" i="1"/>
  <c r="D612" i="1"/>
  <c r="E612" i="1"/>
  <c r="F612" i="1"/>
  <c r="G612" i="1"/>
  <c r="H612" i="1"/>
  <c r="I612" i="1"/>
  <c r="J612" i="1"/>
  <c r="A613" i="1"/>
  <c r="B613" i="1"/>
  <c r="C613" i="1"/>
  <c r="D613" i="1"/>
  <c r="E613" i="1"/>
  <c r="F613" i="1"/>
  <c r="G613" i="1"/>
  <c r="H613" i="1"/>
  <c r="I613" i="1"/>
  <c r="J613" i="1"/>
  <c r="A614" i="1"/>
  <c r="B614" i="1"/>
  <c r="C614" i="1"/>
  <c r="D614" i="1"/>
  <c r="E614" i="1"/>
  <c r="F614" i="1"/>
  <c r="G614" i="1"/>
  <c r="H614" i="1"/>
  <c r="I614" i="1"/>
  <c r="J614" i="1"/>
  <c r="A615" i="1"/>
  <c r="B615" i="1"/>
  <c r="C615" i="1"/>
  <c r="D615" i="1"/>
  <c r="E615" i="1"/>
  <c r="F615" i="1"/>
  <c r="G615" i="1"/>
  <c r="H615" i="1"/>
  <c r="I615" i="1"/>
  <c r="J615" i="1"/>
  <c r="A616" i="1"/>
  <c r="B616" i="1"/>
  <c r="C616" i="1"/>
  <c r="D616" i="1"/>
  <c r="E616" i="1"/>
  <c r="F616" i="1"/>
  <c r="G616" i="1"/>
  <c r="H616" i="1"/>
  <c r="I616" i="1"/>
  <c r="J616" i="1"/>
  <c r="A617" i="1"/>
  <c r="B617" i="1"/>
  <c r="C617" i="1"/>
  <c r="D617" i="1"/>
  <c r="E617" i="1"/>
  <c r="F617" i="1"/>
  <c r="G617" i="1"/>
  <c r="H617" i="1"/>
  <c r="I617" i="1"/>
  <c r="J617" i="1"/>
  <c r="A618" i="1"/>
  <c r="B618" i="1"/>
  <c r="C618" i="1"/>
  <c r="D618" i="1"/>
  <c r="E618" i="1"/>
  <c r="F618" i="1"/>
  <c r="G618" i="1"/>
  <c r="H618" i="1"/>
  <c r="I618" i="1"/>
  <c r="J618" i="1"/>
  <c r="A619" i="1"/>
  <c r="B619" i="1"/>
  <c r="C619" i="1"/>
  <c r="D619" i="1"/>
  <c r="E619" i="1"/>
  <c r="F619" i="1"/>
  <c r="G619" i="1"/>
  <c r="H619" i="1"/>
  <c r="I619" i="1"/>
  <c r="J619" i="1"/>
  <c r="A620" i="1"/>
  <c r="B620" i="1"/>
  <c r="C620" i="1"/>
  <c r="D620" i="1"/>
  <c r="E620" i="1"/>
  <c r="F620" i="1"/>
  <c r="G620" i="1"/>
  <c r="H620" i="1"/>
  <c r="I620" i="1"/>
  <c r="J620" i="1"/>
  <c r="A621" i="1"/>
  <c r="B621" i="1"/>
  <c r="C621" i="1"/>
  <c r="D621" i="1"/>
  <c r="E621" i="1"/>
  <c r="F621" i="1"/>
  <c r="G621" i="1"/>
  <c r="H621" i="1"/>
  <c r="I621" i="1"/>
  <c r="J621" i="1"/>
  <c r="A622" i="1"/>
  <c r="B622" i="1"/>
  <c r="C622" i="1"/>
  <c r="D622" i="1"/>
  <c r="E622" i="1"/>
  <c r="F622" i="1"/>
  <c r="G622" i="1"/>
  <c r="H622" i="1"/>
  <c r="I622" i="1"/>
  <c r="J622" i="1"/>
  <c r="A623" i="1"/>
  <c r="B623" i="1"/>
  <c r="C623" i="1"/>
  <c r="D623" i="1"/>
  <c r="E623" i="1"/>
  <c r="F623" i="1"/>
  <c r="G623" i="1"/>
  <c r="H623" i="1"/>
  <c r="I623" i="1"/>
  <c r="J623" i="1"/>
  <c r="A624" i="1"/>
  <c r="B624" i="1"/>
  <c r="C624" i="1"/>
  <c r="D624" i="1"/>
  <c r="E624" i="1"/>
  <c r="F624" i="1"/>
  <c r="G624" i="1"/>
  <c r="H624" i="1"/>
  <c r="I624" i="1"/>
  <c r="J624" i="1"/>
  <c r="A625" i="1"/>
  <c r="B625" i="1"/>
  <c r="C625" i="1"/>
  <c r="D625" i="1"/>
  <c r="E625" i="1"/>
  <c r="F625" i="1"/>
  <c r="G625" i="1"/>
  <c r="H625" i="1"/>
  <c r="I625" i="1"/>
  <c r="J625" i="1"/>
  <c r="A626" i="1"/>
  <c r="B626" i="1"/>
  <c r="C626" i="1"/>
  <c r="D626" i="1"/>
  <c r="E626" i="1"/>
  <c r="F626" i="1"/>
  <c r="G626" i="1"/>
  <c r="H626" i="1"/>
  <c r="I626" i="1"/>
  <c r="J626" i="1"/>
  <c r="A627" i="1"/>
  <c r="B627" i="1"/>
  <c r="C627" i="1"/>
  <c r="D627" i="1"/>
  <c r="E627" i="1"/>
  <c r="F627" i="1"/>
  <c r="G627" i="1"/>
  <c r="H627" i="1"/>
  <c r="I627" i="1"/>
  <c r="J627" i="1"/>
  <c r="A628" i="1"/>
  <c r="B628" i="1"/>
  <c r="C628" i="1"/>
  <c r="D628" i="1"/>
  <c r="E628" i="1"/>
  <c r="F628" i="1"/>
  <c r="G628" i="1"/>
  <c r="H628" i="1"/>
  <c r="I628" i="1"/>
  <c r="J628" i="1"/>
  <c r="A629" i="1"/>
  <c r="B629" i="1"/>
  <c r="C629" i="1"/>
  <c r="D629" i="1"/>
  <c r="E629" i="1"/>
  <c r="F629" i="1"/>
  <c r="G629" i="1"/>
  <c r="H629" i="1"/>
  <c r="I629" i="1"/>
  <c r="J629" i="1"/>
  <c r="A630" i="1"/>
  <c r="B630" i="1"/>
  <c r="C630" i="1"/>
  <c r="D630" i="1"/>
  <c r="E630" i="1"/>
  <c r="F630" i="1"/>
  <c r="G630" i="1"/>
  <c r="H630" i="1"/>
  <c r="I630" i="1"/>
  <c r="J630" i="1"/>
  <c r="A631" i="1"/>
  <c r="B631" i="1"/>
  <c r="C631" i="1"/>
  <c r="D631" i="1"/>
  <c r="E631" i="1"/>
  <c r="F631" i="1"/>
  <c r="G631" i="1"/>
  <c r="H631" i="1"/>
  <c r="I631" i="1"/>
  <c r="J631" i="1"/>
  <c r="A632" i="1"/>
  <c r="B632" i="1"/>
  <c r="C632" i="1"/>
  <c r="D632" i="1"/>
  <c r="E632" i="1"/>
  <c r="F632" i="1"/>
  <c r="G632" i="1"/>
  <c r="H632" i="1"/>
  <c r="I632" i="1"/>
  <c r="J632" i="1"/>
  <c r="A633" i="1"/>
  <c r="B633" i="1"/>
  <c r="C633" i="1"/>
  <c r="D633" i="1"/>
  <c r="E633" i="1"/>
  <c r="F633" i="1"/>
  <c r="G633" i="1"/>
  <c r="H633" i="1"/>
  <c r="I633" i="1"/>
  <c r="J633" i="1"/>
  <c r="A634" i="1"/>
  <c r="B634" i="1"/>
  <c r="C634" i="1"/>
  <c r="D634" i="1"/>
  <c r="E634" i="1"/>
  <c r="F634" i="1"/>
  <c r="G634" i="1"/>
  <c r="H634" i="1"/>
  <c r="I634" i="1"/>
  <c r="J634" i="1"/>
  <c r="A635" i="1"/>
  <c r="B635" i="1"/>
  <c r="C635" i="1"/>
  <c r="D635" i="1"/>
  <c r="E635" i="1"/>
  <c r="F635" i="1"/>
  <c r="G635" i="1"/>
  <c r="H635" i="1"/>
  <c r="I635" i="1"/>
  <c r="J635" i="1"/>
  <c r="A636" i="1"/>
  <c r="B636" i="1"/>
  <c r="C636" i="1"/>
  <c r="D636" i="1"/>
  <c r="E636" i="1"/>
  <c r="F636" i="1"/>
  <c r="G636" i="1"/>
  <c r="H636" i="1"/>
  <c r="I636" i="1"/>
  <c r="J636" i="1"/>
  <c r="A637" i="1"/>
  <c r="B637" i="1"/>
  <c r="C637" i="1"/>
  <c r="D637" i="1"/>
  <c r="E637" i="1"/>
  <c r="F637" i="1"/>
  <c r="G637" i="1"/>
  <c r="H637" i="1"/>
  <c r="I637" i="1"/>
  <c r="J637" i="1"/>
  <c r="A638" i="1"/>
  <c r="B638" i="1"/>
  <c r="C638" i="1"/>
  <c r="D638" i="1"/>
  <c r="E638" i="1"/>
  <c r="F638" i="1"/>
  <c r="G638" i="1"/>
  <c r="H638" i="1"/>
  <c r="I638" i="1"/>
  <c r="J638" i="1"/>
  <c r="A639" i="1"/>
  <c r="B639" i="1"/>
  <c r="C639" i="1"/>
  <c r="D639" i="1"/>
  <c r="E639" i="1"/>
  <c r="F639" i="1"/>
  <c r="G639" i="1"/>
  <c r="H639" i="1"/>
  <c r="I639" i="1"/>
  <c r="J639" i="1"/>
  <c r="A640" i="1"/>
  <c r="B640" i="1"/>
  <c r="C640" i="1"/>
  <c r="D640" i="1"/>
  <c r="E640" i="1"/>
  <c r="F640" i="1"/>
  <c r="G640" i="1"/>
  <c r="H640" i="1"/>
  <c r="I640" i="1"/>
  <c r="J640" i="1"/>
  <c r="A641" i="1"/>
  <c r="B641" i="1"/>
  <c r="C641" i="1"/>
  <c r="D641" i="1"/>
  <c r="E641" i="1"/>
  <c r="F641" i="1"/>
  <c r="G641" i="1"/>
  <c r="H641" i="1"/>
  <c r="I641" i="1"/>
  <c r="J641" i="1"/>
  <c r="A642" i="1"/>
  <c r="B642" i="1"/>
  <c r="C642" i="1"/>
  <c r="D642" i="1"/>
  <c r="E642" i="1"/>
  <c r="F642" i="1"/>
  <c r="G642" i="1"/>
  <c r="H642" i="1"/>
  <c r="I642" i="1"/>
  <c r="J642" i="1"/>
  <c r="A643" i="1"/>
  <c r="B643" i="1"/>
  <c r="C643" i="1"/>
  <c r="D643" i="1"/>
  <c r="E643" i="1"/>
  <c r="F643" i="1"/>
  <c r="G643" i="1"/>
  <c r="H643" i="1"/>
  <c r="I643" i="1"/>
  <c r="J643" i="1"/>
  <c r="A644" i="1"/>
  <c r="B644" i="1"/>
  <c r="C644" i="1"/>
  <c r="D644" i="1"/>
  <c r="E644" i="1"/>
  <c r="F644" i="1"/>
  <c r="G644" i="1"/>
  <c r="H644" i="1"/>
  <c r="I644" i="1"/>
  <c r="J644" i="1"/>
  <c r="A645" i="1"/>
  <c r="B645" i="1"/>
  <c r="C645" i="1"/>
  <c r="D645" i="1"/>
  <c r="E645" i="1"/>
  <c r="F645" i="1"/>
  <c r="G645" i="1"/>
  <c r="H645" i="1"/>
  <c r="I645" i="1"/>
  <c r="J645" i="1"/>
  <c r="A646" i="1"/>
  <c r="B646" i="1"/>
  <c r="C646" i="1"/>
  <c r="D646" i="1"/>
  <c r="E646" i="1"/>
  <c r="F646" i="1"/>
  <c r="G646" i="1"/>
  <c r="H646" i="1"/>
  <c r="I646" i="1"/>
  <c r="J646" i="1"/>
  <c r="A647" i="1"/>
  <c r="B647" i="1"/>
  <c r="C647" i="1"/>
  <c r="D647" i="1"/>
  <c r="E647" i="1"/>
  <c r="F647" i="1"/>
  <c r="G647" i="1"/>
  <c r="H647" i="1"/>
  <c r="I647" i="1"/>
  <c r="J647" i="1"/>
  <c r="A648" i="1"/>
  <c r="B648" i="1"/>
  <c r="C648" i="1"/>
  <c r="D648" i="1"/>
  <c r="E648" i="1"/>
  <c r="F648" i="1"/>
  <c r="G648" i="1"/>
  <c r="H648" i="1"/>
  <c r="I648" i="1"/>
  <c r="J648" i="1"/>
  <c r="A649" i="1"/>
  <c r="B649" i="1"/>
  <c r="C649" i="1"/>
  <c r="D649" i="1"/>
  <c r="E649" i="1"/>
  <c r="F649" i="1"/>
  <c r="G649" i="1"/>
  <c r="H649" i="1"/>
  <c r="I649" i="1"/>
  <c r="J649" i="1"/>
  <c r="A650" i="1"/>
  <c r="B650" i="1"/>
  <c r="C650" i="1"/>
  <c r="D650" i="1"/>
  <c r="E650" i="1"/>
  <c r="F650" i="1"/>
  <c r="G650" i="1"/>
  <c r="H650" i="1"/>
  <c r="I650" i="1"/>
  <c r="J650" i="1"/>
  <c r="A651" i="1"/>
  <c r="B651" i="1"/>
  <c r="C651" i="1"/>
  <c r="D651" i="1"/>
  <c r="E651" i="1"/>
  <c r="F651" i="1"/>
  <c r="G651" i="1"/>
  <c r="H651" i="1"/>
  <c r="I651" i="1"/>
  <c r="J651" i="1"/>
  <c r="A652" i="1"/>
  <c r="B652" i="1"/>
  <c r="C652" i="1"/>
  <c r="D652" i="1"/>
  <c r="E652" i="1"/>
  <c r="F652" i="1"/>
  <c r="G652" i="1"/>
  <c r="H652" i="1"/>
  <c r="I652" i="1"/>
  <c r="J652" i="1"/>
  <c r="A653" i="1"/>
  <c r="B653" i="1"/>
  <c r="C653" i="1"/>
  <c r="D653" i="1"/>
  <c r="E653" i="1"/>
  <c r="F653" i="1"/>
  <c r="G653" i="1"/>
  <c r="H653" i="1"/>
  <c r="I653" i="1"/>
  <c r="J653" i="1"/>
  <c r="A654" i="1"/>
  <c r="B654" i="1"/>
  <c r="C654" i="1"/>
  <c r="D654" i="1"/>
  <c r="E654" i="1"/>
  <c r="F654" i="1"/>
  <c r="G654" i="1"/>
  <c r="H654" i="1"/>
  <c r="I654" i="1"/>
  <c r="J654" i="1"/>
  <c r="A655" i="1"/>
  <c r="B655" i="1"/>
  <c r="C655" i="1"/>
  <c r="D655" i="1"/>
  <c r="E655" i="1"/>
  <c r="F655" i="1"/>
  <c r="G655" i="1"/>
  <c r="H655" i="1"/>
  <c r="I655" i="1"/>
  <c r="J655" i="1"/>
  <c r="A656" i="1"/>
  <c r="B656" i="1"/>
  <c r="C656" i="1"/>
  <c r="D656" i="1"/>
  <c r="E656" i="1"/>
  <c r="F656" i="1"/>
  <c r="G656" i="1"/>
  <c r="H656" i="1"/>
  <c r="I656" i="1"/>
  <c r="J656" i="1"/>
  <c r="A657" i="1"/>
  <c r="B657" i="1"/>
  <c r="C657" i="1"/>
  <c r="D657" i="1"/>
  <c r="E657" i="1"/>
  <c r="F657" i="1"/>
  <c r="G657" i="1"/>
  <c r="H657" i="1"/>
  <c r="I657" i="1"/>
  <c r="J657" i="1"/>
  <c r="A658" i="1"/>
  <c r="B658" i="1"/>
  <c r="C658" i="1"/>
  <c r="D658" i="1"/>
  <c r="E658" i="1"/>
  <c r="F658" i="1"/>
  <c r="G658" i="1"/>
  <c r="H658" i="1"/>
  <c r="I658" i="1"/>
  <c r="J658" i="1"/>
  <c r="A659" i="1"/>
  <c r="B659" i="1"/>
  <c r="C659" i="1"/>
  <c r="D659" i="1"/>
  <c r="E659" i="1"/>
  <c r="F659" i="1"/>
  <c r="G659" i="1"/>
  <c r="H659" i="1"/>
  <c r="I659" i="1"/>
  <c r="J659" i="1"/>
  <c r="A660" i="1"/>
  <c r="B660" i="1"/>
  <c r="C660" i="1"/>
  <c r="D660" i="1"/>
  <c r="E660" i="1"/>
  <c r="F660" i="1"/>
  <c r="G660" i="1"/>
  <c r="H660" i="1"/>
  <c r="I660" i="1"/>
  <c r="J660" i="1"/>
  <c r="A661" i="1"/>
  <c r="B661" i="1"/>
  <c r="C661" i="1"/>
  <c r="D661" i="1"/>
  <c r="E661" i="1"/>
  <c r="F661" i="1"/>
  <c r="G661" i="1"/>
  <c r="H661" i="1"/>
  <c r="I661" i="1"/>
  <c r="J661" i="1"/>
  <c r="A662" i="1"/>
  <c r="B662" i="1"/>
  <c r="C662" i="1"/>
  <c r="D662" i="1"/>
  <c r="E662" i="1"/>
  <c r="F662" i="1"/>
  <c r="G662" i="1"/>
  <c r="H662" i="1"/>
  <c r="I662" i="1"/>
  <c r="J662" i="1"/>
  <c r="A663" i="1"/>
  <c r="B663" i="1"/>
  <c r="C663" i="1"/>
  <c r="D663" i="1"/>
  <c r="E663" i="1"/>
  <c r="F663" i="1"/>
  <c r="G663" i="1"/>
  <c r="H663" i="1"/>
  <c r="I663" i="1"/>
  <c r="J663" i="1"/>
  <c r="A664" i="1"/>
  <c r="B664" i="1"/>
  <c r="C664" i="1"/>
  <c r="D664" i="1"/>
  <c r="E664" i="1"/>
  <c r="F664" i="1"/>
  <c r="G664" i="1"/>
  <c r="H664" i="1"/>
  <c r="I664" i="1"/>
  <c r="J664" i="1"/>
  <c r="A665" i="1"/>
  <c r="B665" i="1"/>
  <c r="C665" i="1"/>
  <c r="D665" i="1"/>
  <c r="E665" i="1"/>
  <c r="F665" i="1"/>
  <c r="G665" i="1"/>
  <c r="H665" i="1"/>
  <c r="I665" i="1"/>
  <c r="J665" i="1"/>
  <c r="A666" i="1"/>
  <c r="B666" i="1"/>
  <c r="C666" i="1"/>
  <c r="D666" i="1"/>
  <c r="E666" i="1"/>
  <c r="F666" i="1"/>
  <c r="G666" i="1"/>
  <c r="H666" i="1"/>
  <c r="I666" i="1"/>
  <c r="J666" i="1"/>
  <c r="A667" i="1"/>
  <c r="B667" i="1"/>
  <c r="C667" i="1"/>
  <c r="D667" i="1"/>
  <c r="E667" i="1"/>
  <c r="F667" i="1"/>
  <c r="G667" i="1"/>
  <c r="H667" i="1"/>
  <c r="I667" i="1"/>
  <c r="J667" i="1"/>
  <c r="A668" i="1"/>
  <c r="B668" i="1"/>
  <c r="C668" i="1"/>
  <c r="D668" i="1"/>
  <c r="E668" i="1"/>
  <c r="F668" i="1"/>
  <c r="G668" i="1"/>
  <c r="H668" i="1"/>
  <c r="I668" i="1"/>
  <c r="J668" i="1"/>
  <c r="A669" i="1"/>
  <c r="B669" i="1"/>
  <c r="C669" i="1"/>
  <c r="D669" i="1"/>
  <c r="E669" i="1"/>
  <c r="F669" i="1"/>
  <c r="G669" i="1"/>
  <c r="H669" i="1"/>
  <c r="I669" i="1"/>
  <c r="J669" i="1"/>
  <c r="A670" i="1"/>
  <c r="B670" i="1"/>
  <c r="C670" i="1"/>
  <c r="D670" i="1"/>
  <c r="E670" i="1"/>
  <c r="F670" i="1"/>
  <c r="G670" i="1"/>
  <c r="H670" i="1"/>
  <c r="I670" i="1"/>
  <c r="J670" i="1"/>
  <c r="A671" i="1"/>
  <c r="B671" i="1"/>
  <c r="C671" i="1"/>
  <c r="D671" i="1"/>
  <c r="E671" i="1"/>
  <c r="F671" i="1"/>
  <c r="G671" i="1"/>
  <c r="H671" i="1"/>
  <c r="I671" i="1"/>
  <c r="J671" i="1"/>
  <c r="A672" i="1"/>
  <c r="B672" i="1"/>
  <c r="C672" i="1"/>
  <c r="D672" i="1"/>
  <c r="E672" i="1"/>
  <c r="F672" i="1"/>
  <c r="G672" i="1"/>
  <c r="H672" i="1"/>
  <c r="I672" i="1"/>
  <c r="J672" i="1"/>
  <c r="A673" i="1"/>
  <c r="B673" i="1"/>
  <c r="C673" i="1"/>
  <c r="D673" i="1"/>
  <c r="E673" i="1"/>
  <c r="F673" i="1"/>
  <c r="G673" i="1"/>
  <c r="H673" i="1"/>
  <c r="I673" i="1"/>
  <c r="J673" i="1"/>
  <c r="A674" i="1"/>
  <c r="B674" i="1"/>
  <c r="C674" i="1"/>
  <c r="D674" i="1"/>
  <c r="E674" i="1"/>
  <c r="F674" i="1"/>
  <c r="G674" i="1"/>
  <c r="H674" i="1"/>
  <c r="I674" i="1"/>
  <c r="J674" i="1"/>
  <c r="A675" i="1"/>
  <c r="B675" i="1"/>
  <c r="C675" i="1"/>
  <c r="D675" i="1"/>
  <c r="E675" i="1"/>
  <c r="F675" i="1"/>
  <c r="G675" i="1"/>
  <c r="H675" i="1"/>
  <c r="I675" i="1"/>
  <c r="J675" i="1"/>
  <c r="A676" i="1"/>
  <c r="B676" i="1"/>
  <c r="C676" i="1"/>
  <c r="D676" i="1"/>
  <c r="E676" i="1"/>
  <c r="F676" i="1"/>
  <c r="G676" i="1"/>
  <c r="H676" i="1"/>
  <c r="I676" i="1"/>
  <c r="J676" i="1"/>
  <c r="A677" i="1"/>
  <c r="B677" i="1"/>
  <c r="C677" i="1"/>
  <c r="D677" i="1"/>
  <c r="E677" i="1"/>
  <c r="F677" i="1"/>
  <c r="G677" i="1"/>
  <c r="H677" i="1"/>
  <c r="I677" i="1"/>
  <c r="J677" i="1"/>
  <c r="A678" i="1"/>
  <c r="B678" i="1"/>
  <c r="C678" i="1"/>
  <c r="D678" i="1"/>
  <c r="E678" i="1"/>
  <c r="F678" i="1"/>
  <c r="G678" i="1"/>
  <c r="H678" i="1"/>
  <c r="I678" i="1"/>
  <c r="J678" i="1"/>
  <c r="A679" i="1"/>
  <c r="B679" i="1"/>
  <c r="C679" i="1"/>
  <c r="D679" i="1"/>
  <c r="E679" i="1"/>
  <c r="F679" i="1"/>
  <c r="G679" i="1"/>
  <c r="H679" i="1"/>
  <c r="I679" i="1"/>
  <c r="J679" i="1"/>
  <c r="A680" i="1"/>
  <c r="B680" i="1"/>
  <c r="C680" i="1"/>
  <c r="D680" i="1"/>
  <c r="E680" i="1"/>
  <c r="F680" i="1"/>
  <c r="G680" i="1"/>
  <c r="H680" i="1"/>
  <c r="I680" i="1"/>
  <c r="J680" i="1"/>
  <c r="A681" i="1"/>
  <c r="B681" i="1"/>
  <c r="C681" i="1"/>
  <c r="D681" i="1"/>
  <c r="E681" i="1"/>
  <c r="F681" i="1"/>
  <c r="G681" i="1"/>
  <c r="H681" i="1"/>
  <c r="I681" i="1"/>
  <c r="J681" i="1"/>
  <c r="A682" i="1"/>
  <c r="B682" i="1"/>
  <c r="C682" i="1"/>
  <c r="D682" i="1"/>
  <c r="E682" i="1"/>
  <c r="F682" i="1"/>
  <c r="G682" i="1"/>
  <c r="H682" i="1"/>
  <c r="I682" i="1"/>
  <c r="J682" i="1"/>
  <c r="A683" i="1"/>
  <c r="B683" i="1"/>
  <c r="C683" i="1"/>
  <c r="D683" i="1"/>
  <c r="E683" i="1"/>
  <c r="F683" i="1"/>
  <c r="G683" i="1"/>
  <c r="H683" i="1"/>
  <c r="I683" i="1"/>
  <c r="J683" i="1"/>
  <c r="A684" i="1"/>
  <c r="B684" i="1"/>
  <c r="C684" i="1"/>
  <c r="D684" i="1"/>
  <c r="E684" i="1"/>
  <c r="F684" i="1"/>
  <c r="G684" i="1"/>
  <c r="H684" i="1"/>
  <c r="I684" i="1"/>
  <c r="J684" i="1"/>
  <c r="A685" i="1"/>
  <c r="B685" i="1"/>
  <c r="C685" i="1"/>
  <c r="D685" i="1"/>
  <c r="E685" i="1"/>
  <c r="F685" i="1"/>
  <c r="G685" i="1"/>
  <c r="H685" i="1"/>
  <c r="I685" i="1"/>
  <c r="J685" i="1"/>
  <c r="A686" i="1"/>
  <c r="B686" i="1"/>
  <c r="C686" i="1"/>
  <c r="D686" i="1"/>
  <c r="E686" i="1"/>
  <c r="F686" i="1"/>
  <c r="G686" i="1"/>
  <c r="H686" i="1"/>
  <c r="I686" i="1"/>
  <c r="J686" i="1"/>
  <c r="A687" i="1"/>
  <c r="B687" i="1"/>
  <c r="C687" i="1"/>
  <c r="D687" i="1"/>
  <c r="E687" i="1"/>
  <c r="F687" i="1"/>
  <c r="G687" i="1"/>
  <c r="H687" i="1"/>
  <c r="I687" i="1"/>
  <c r="J687" i="1"/>
  <c r="A688" i="1"/>
  <c r="B688" i="1"/>
  <c r="C688" i="1"/>
  <c r="D688" i="1"/>
  <c r="E688" i="1"/>
  <c r="F688" i="1"/>
  <c r="G688" i="1"/>
  <c r="H688" i="1"/>
  <c r="I688" i="1"/>
  <c r="J688" i="1"/>
  <c r="A689" i="1"/>
  <c r="B689" i="1"/>
  <c r="C689" i="1"/>
  <c r="D689" i="1"/>
  <c r="E689" i="1"/>
  <c r="F689" i="1"/>
  <c r="G689" i="1"/>
  <c r="H689" i="1"/>
  <c r="I689" i="1"/>
  <c r="J689" i="1"/>
  <c r="A690" i="1"/>
  <c r="B690" i="1"/>
  <c r="C690" i="1"/>
  <c r="D690" i="1"/>
  <c r="E690" i="1"/>
  <c r="F690" i="1"/>
  <c r="G690" i="1"/>
  <c r="H690" i="1"/>
  <c r="I690" i="1"/>
  <c r="J690" i="1"/>
  <c r="A691" i="1"/>
  <c r="B691" i="1"/>
  <c r="C691" i="1"/>
  <c r="D691" i="1"/>
  <c r="E691" i="1"/>
  <c r="F691" i="1"/>
  <c r="G691" i="1"/>
  <c r="H691" i="1"/>
  <c r="I691" i="1"/>
  <c r="J691" i="1"/>
  <c r="A692" i="1"/>
  <c r="B692" i="1"/>
  <c r="C692" i="1"/>
  <c r="D692" i="1"/>
  <c r="E692" i="1"/>
  <c r="F692" i="1"/>
  <c r="G692" i="1"/>
  <c r="H692" i="1"/>
  <c r="I692" i="1"/>
  <c r="J692" i="1"/>
  <c r="A693" i="1"/>
  <c r="B693" i="1"/>
  <c r="C693" i="1"/>
  <c r="D693" i="1"/>
  <c r="E693" i="1"/>
  <c r="F693" i="1"/>
  <c r="G693" i="1"/>
  <c r="H693" i="1"/>
  <c r="I693" i="1"/>
  <c r="J693" i="1"/>
  <c r="A694" i="1"/>
  <c r="B694" i="1"/>
  <c r="C694" i="1"/>
  <c r="D694" i="1"/>
  <c r="E694" i="1"/>
  <c r="F694" i="1"/>
  <c r="G694" i="1"/>
  <c r="H694" i="1"/>
  <c r="I694" i="1"/>
  <c r="J694" i="1"/>
  <c r="A695" i="1"/>
  <c r="B695" i="1"/>
  <c r="C695" i="1"/>
  <c r="D695" i="1"/>
  <c r="E695" i="1"/>
  <c r="F695" i="1"/>
  <c r="G695" i="1"/>
  <c r="H695" i="1"/>
  <c r="I695" i="1"/>
  <c r="J695" i="1"/>
  <c r="A696" i="1"/>
  <c r="B696" i="1"/>
  <c r="C696" i="1"/>
  <c r="D696" i="1"/>
  <c r="E696" i="1"/>
  <c r="F696" i="1"/>
  <c r="G696" i="1"/>
  <c r="H696" i="1"/>
  <c r="I696" i="1"/>
  <c r="J696" i="1"/>
  <c r="A697" i="1"/>
  <c r="B697" i="1"/>
  <c r="C697" i="1"/>
  <c r="D697" i="1"/>
  <c r="E697" i="1"/>
  <c r="F697" i="1"/>
  <c r="G697" i="1"/>
  <c r="H697" i="1"/>
  <c r="I697" i="1"/>
  <c r="J697" i="1"/>
  <c r="A698" i="1"/>
  <c r="B698" i="1"/>
  <c r="C698" i="1"/>
  <c r="D698" i="1"/>
  <c r="E698" i="1"/>
  <c r="F698" i="1"/>
  <c r="G698" i="1"/>
  <c r="H698" i="1"/>
  <c r="I698" i="1"/>
  <c r="J698" i="1"/>
  <c r="A699" i="1"/>
  <c r="B699" i="1"/>
  <c r="C699" i="1"/>
  <c r="D699" i="1"/>
  <c r="E699" i="1"/>
  <c r="F699" i="1"/>
  <c r="G699" i="1"/>
  <c r="H699" i="1"/>
  <c r="I699" i="1"/>
  <c r="J699" i="1"/>
  <c r="A700" i="1"/>
  <c r="B700" i="1"/>
  <c r="C700" i="1"/>
  <c r="D700" i="1"/>
  <c r="E700" i="1"/>
  <c r="F700" i="1"/>
  <c r="G700" i="1"/>
  <c r="H700" i="1"/>
  <c r="I700" i="1"/>
  <c r="J700" i="1"/>
  <c r="A701" i="1"/>
  <c r="B701" i="1"/>
  <c r="C701" i="1"/>
  <c r="D701" i="1"/>
  <c r="E701" i="1"/>
  <c r="F701" i="1"/>
  <c r="G701" i="1"/>
  <c r="H701" i="1"/>
  <c r="I701" i="1"/>
  <c r="J701" i="1"/>
  <c r="A702" i="1"/>
  <c r="B702" i="1"/>
  <c r="C702" i="1"/>
  <c r="D702" i="1"/>
  <c r="E702" i="1"/>
  <c r="F702" i="1"/>
  <c r="G702" i="1"/>
  <c r="H702" i="1"/>
  <c r="I702" i="1"/>
  <c r="J702" i="1"/>
  <c r="A703" i="1"/>
  <c r="B703" i="1"/>
  <c r="C703" i="1"/>
  <c r="D703" i="1"/>
  <c r="E703" i="1"/>
  <c r="F703" i="1"/>
  <c r="G703" i="1"/>
  <c r="H703" i="1"/>
  <c r="I703" i="1"/>
  <c r="J703" i="1"/>
  <c r="A704" i="1"/>
  <c r="B704" i="1"/>
  <c r="C704" i="1"/>
  <c r="D704" i="1"/>
  <c r="E704" i="1"/>
  <c r="F704" i="1"/>
  <c r="G704" i="1"/>
  <c r="H704" i="1"/>
  <c r="I704" i="1"/>
  <c r="J704" i="1"/>
  <c r="A705" i="1"/>
  <c r="B705" i="1"/>
  <c r="C705" i="1"/>
  <c r="D705" i="1"/>
  <c r="E705" i="1"/>
  <c r="F705" i="1"/>
  <c r="G705" i="1"/>
  <c r="H705" i="1"/>
  <c r="I705" i="1"/>
  <c r="J705" i="1"/>
  <c r="A706" i="1"/>
  <c r="B706" i="1"/>
  <c r="C706" i="1"/>
  <c r="D706" i="1"/>
  <c r="E706" i="1"/>
  <c r="F706" i="1"/>
  <c r="G706" i="1"/>
  <c r="H706" i="1"/>
  <c r="I706" i="1"/>
  <c r="J706" i="1"/>
  <c r="A707" i="1"/>
  <c r="B707" i="1"/>
  <c r="C707" i="1"/>
  <c r="D707" i="1"/>
  <c r="E707" i="1"/>
  <c r="F707" i="1"/>
  <c r="G707" i="1"/>
  <c r="H707" i="1"/>
  <c r="I707" i="1"/>
  <c r="J707" i="1"/>
  <c r="A708" i="1"/>
  <c r="B708" i="1"/>
  <c r="C708" i="1"/>
  <c r="D708" i="1"/>
  <c r="E708" i="1"/>
  <c r="F708" i="1"/>
  <c r="G708" i="1"/>
  <c r="H708" i="1"/>
  <c r="I708" i="1"/>
  <c r="J708" i="1"/>
  <c r="A709" i="1"/>
  <c r="B709" i="1"/>
  <c r="C709" i="1"/>
  <c r="D709" i="1"/>
  <c r="E709" i="1"/>
  <c r="F709" i="1"/>
  <c r="G709" i="1"/>
  <c r="H709" i="1"/>
  <c r="I709" i="1"/>
  <c r="J709" i="1"/>
  <c r="A710" i="1"/>
  <c r="B710" i="1"/>
  <c r="C710" i="1"/>
  <c r="D710" i="1"/>
  <c r="E710" i="1"/>
  <c r="F710" i="1"/>
  <c r="G710" i="1"/>
  <c r="H710" i="1"/>
  <c r="I710" i="1"/>
  <c r="J710" i="1"/>
  <c r="A711" i="1"/>
  <c r="B711" i="1"/>
  <c r="C711" i="1"/>
  <c r="D711" i="1"/>
  <c r="E711" i="1"/>
  <c r="F711" i="1"/>
  <c r="G711" i="1"/>
  <c r="H711" i="1"/>
  <c r="I711" i="1"/>
  <c r="J711" i="1"/>
  <c r="A712" i="1"/>
  <c r="B712" i="1"/>
  <c r="C712" i="1"/>
  <c r="D712" i="1"/>
  <c r="E712" i="1"/>
  <c r="F712" i="1"/>
  <c r="G712" i="1"/>
  <c r="H712" i="1"/>
  <c r="I712" i="1"/>
  <c r="J712" i="1"/>
  <c r="A713" i="1"/>
  <c r="B713" i="1"/>
  <c r="C713" i="1"/>
  <c r="D713" i="1"/>
  <c r="E713" i="1"/>
  <c r="F713" i="1"/>
  <c r="G713" i="1"/>
  <c r="H713" i="1"/>
  <c r="I713" i="1"/>
  <c r="J713" i="1"/>
  <c r="A714" i="1"/>
  <c r="B714" i="1"/>
  <c r="C714" i="1"/>
  <c r="D714" i="1"/>
  <c r="E714" i="1"/>
  <c r="F714" i="1"/>
  <c r="G714" i="1"/>
  <c r="H714" i="1"/>
  <c r="I714" i="1"/>
  <c r="J714" i="1"/>
  <c r="A715" i="1"/>
  <c r="B715" i="1"/>
  <c r="C715" i="1"/>
  <c r="D715" i="1"/>
  <c r="E715" i="1"/>
  <c r="F715" i="1"/>
  <c r="G715" i="1"/>
  <c r="H715" i="1"/>
  <c r="I715" i="1"/>
  <c r="J715" i="1"/>
  <c r="A716" i="1"/>
  <c r="B716" i="1"/>
  <c r="C716" i="1"/>
  <c r="D716" i="1"/>
  <c r="E716" i="1"/>
  <c r="F716" i="1"/>
  <c r="G716" i="1"/>
  <c r="H716" i="1"/>
  <c r="I716" i="1"/>
  <c r="J716" i="1"/>
  <c r="A717" i="1"/>
  <c r="B717" i="1"/>
  <c r="C717" i="1"/>
  <c r="D717" i="1"/>
  <c r="E717" i="1"/>
  <c r="F717" i="1"/>
  <c r="G717" i="1"/>
  <c r="H717" i="1"/>
  <c r="I717" i="1"/>
  <c r="J717" i="1"/>
  <c r="A718" i="1"/>
  <c r="B718" i="1"/>
  <c r="C718" i="1"/>
  <c r="D718" i="1"/>
  <c r="E718" i="1"/>
  <c r="F718" i="1"/>
  <c r="G718" i="1"/>
  <c r="H718" i="1"/>
  <c r="I718" i="1"/>
  <c r="J718" i="1"/>
  <c r="A719" i="1"/>
  <c r="B719" i="1"/>
  <c r="C719" i="1"/>
  <c r="D719" i="1"/>
  <c r="E719" i="1"/>
  <c r="F719" i="1"/>
  <c r="G719" i="1"/>
  <c r="H719" i="1"/>
  <c r="I719" i="1"/>
  <c r="J719" i="1"/>
  <c r="A720" i="1"/>
  <c r="B720" i="1"/>
  <c r="C720" i="1"/>
  <c r="D720" i="1"/>
  <c r="E720" i="1"/>
  <c r="F720" i="1"/>
  <c r="G720" i="1"/>
  <c r="H720" i="1"/>
  <c r="I720" i="1"/>
  <c r="J720" i="1"/>
  <c r="A721" i="1"/>
  <c r="B721" i="1"/>
  <c r="C721" i="1"/>
  <c r="D721" i="1"/>
  <c r="E721" i="1"/>
  <c r="F721" i="1"/>
  <c r="G721" i="1"/>
  <c r="H721" i="1"/>
  <c r="I721" i="1"/>
  <c r="J721" i="1"/>
  <c r="A722" i="1"/>
  <c r="B722" i="1"/>
  <c r="C722" i="1"/>
  <c r="D722" i="1"/>
  <c r="E722" i="1"/>
  <c r="F722" i="1"/>
  <c r="G722" i="1"/>
  <c r="H722" i="1"/>
  <c r="I722" i="1"/>
  <c r="J722" i="1"/>
  <c r="A723" i="1"/>
  <c r="B723" i="1"/>
  <c r="C723" i="1"/>
  <c r="D723" i="1"/>
  <c r="E723" i="1"/>
  <c r="F723" i="1"/>
  <c r="G723" i="1"/>
  <c r="H723" i="1"/>
  <c r="I723" i="1"/>
  <c r="J723" i="1"/>
  <c r="A724" i="1"/>
  <c r="B724" i="1"/>
  <c r="C724" i="1"/>
  <c r="D724" i="1"/>
  <c r="E724" i="1"/>
  <c r="F724" i="1"/>
  <c r="G724" i="1"/>
  <c r="H724" i="1"/>
  <c r="I724" i="1"/>
  <c r="J724" i="1"/>
  <c r="A725" i="1"/>
  <c r="B725" i="1"/>
  <c r="C725" i="1"/>
  <c r="D725" i="1"/>
  <c r="E725" i="1"/>
  <c r="F725" i="1"/>
  <c r="G725" i="1"/>
  <c r="H725" i="1"/>
  <c r="I725" i="1"/>
  <c r="J725" i="1"/>
  <c r="A726" i="1"/>
  <c r="B726" i="1"/>
  <c r="C726" i="1"/>
  <c r="D726" i="1"/>
  <c r="E726" i="1"/>
  <c r="F726" i="1"/>
  <c r="G726" i="1"/>
  <c r="H726" i="1"/>
  <c r="I726" i="1"/>
  <c r="J726" i="1"/>
  <c r="A727" i="1"/>
  <c r="B727" i="1"/>
  <c r="C727" i="1"/>
  <c r="D727" i="1"/>
  <c r="E727" i="1"/>
  <c r="F727" i="1"/>
  <c r="G727" i="1"/>
  <c r="H727" i="1"/>
  <c r="I727" i="1"/>
  <c r="J727" i="1"/>
  <c r="A728" i="1"/>
  <c r="B728" i="1"/>
  <c r="C728" i="1"/>
  <c r="D728" i="1"/>
  <c r="E728" i="1"/>
  <c r="F728" i="1"/>
  <c r="G728" i="1"/>
  <c r="H728" i="1"/>
  <c r="I728" i="1"/>
  <c r="J728" i="1"/>
  <c r="A729" i="1"/>
  <c r="B729" i="1"/>
  <c r="C729" i="1"/>
  <c r="D729" i="1"/>
  <c r="E729" i="1"/>
  <c r="F729" i="1"/>
  <c r="G729" i="1"/>
  <c r="H729" i="1"/>
  <c r="I729" i="1"/>
  <c r="J729" i="1"/>
  <c r="A730" i="1"/>
  <c r="B730" i="1"/>
  <c r="C730" i="1"/>
  <c r="D730" i="1"/>
  <c r="E730" i="1"/>
  <c r="F730" i="1"/>
  <c r="G730" i="1"/>
  <c r="H730" i="1"/>
  <c r="I730" i="1"/>
  <c r="J730" i="1"/>
  <c r="A731" i="1"/>
  <c r="B731" i="1"/>
  <c r="C731" i="1"/>
  <c r="D731" i="1"/>
  <c r="E731" i="1"/>
  <c r="F731" i="1"/>
  <c r="G731" i="1"/>
  <c r="H731" i="1"/>
  <c r="I731" i="1"/>
  <c r="J731" i="1"/>
  <c r="A732" i="1"/>
  <c r="B732" i="1"/>
  <c r="C732" i="1"/>
  <c r="D732" i="1"/>
  <c r="E732" i="1"/>
  <c r="F732" i="1"/>
  <c r="G732" i="1"/>
  <c r="H732" i="1"/>
  <c r="I732" i="1"/>
  <c r="J732" i="1"/>
  <c r="A733" i="1"/>
  <c r="B733" i="1"/>
  <c r="C733" i="1"/>
  <c r="D733" i="1"/>
  <c r="E733" i="1"/>
  <c r="F733" i="1"/>
  <c r="G733" i="1"/>
  <c r="H733" i="1"/>
  <c r="I733" i="1"/>
  <c r="J733" i="1"/>
  <c r="A734" i="1"/>
  <c r="B734" i="1"/>
  <c r="C734" i="1"/>
  <c r="D734" i="1"/>
  <c r="E734" i="1"/>
  <c r="F734" i="1"/>
  <c r="G734" i="1"/>
  <c r="H734" i="1"/>
  <c r="I734" i="1"/>
  <c r="J734" i="1"/>
  <c r="A735" i="1"/>
  <c r="B735" i="1"/>
  <c r="C735" i="1"/>
  <c r="D735" i="1"/>
  <c r="E735" i="1"/>
  <c r="F735" i="1"/>
  <c r="G735" i="1"/>
  <c r="H735" i="1"/>
  <c r="I735" i="1"/>
  <c r="J735" i="1"/>
  <c r="A736" i="1"/>
  <c r="B736" i="1"/>
  <c r="C736" i="1"/>
  <c r="D736" i="1"/>
  <c r="E736" i="1"/>
  <c r="F736" i="1"/>
  <c r="G736" i="1"/>
  <c r="H736" i="1"/>
  <c r="I736" i="1"/>
  <c r="J736" i="1"/>
  <c r="A737" i="1"/>
  <c r="B737" i="1"/>
  <c r="C737" i="1"/>
  <c r="D737" i="1"/>
  <c r="E737" i="1"/>
  <c r="F737" i="1"/>
  <c r="G737" i="1"/>
  <c r="H737" i="1"/>
  <c r="I737" i="1"/>
  <c r="J737" i="1"/>
  <c r="A738" i="1"/>
  <c r="B738" i="1"/>
  <c r="C738" i="1"/>
  <c r="D738" i="1"/>
  <c r="E738" i="1"/>
  <c r="F738" i="1"/>
  <c r="G738" i="1"/>
  <c r="H738" i="1"/>
  <c r="I738" i="1"/>
  <c r="J738" i="1"/>
  <c r="A739" i="1"/>
  <c r="B739" i="1"/>
  <c r="C739" i="1"/>
  <c r="D739" i="1"/>
  <c r="E739" i="1"/>
  <c r="F739" i="1"/>
  <c r="G739" i="1"/>
  <c r="H739" i="1"/>
  <c r="I739" i="1"/>
  <c r="J739" i="1"/>
  <c r="A740" i="1"/>
  <c r="B740" i="1"/>
  <c r="C740" i="1"/>
  <c r="D740" i="1"/>
  <c r="E740" i="1"/>
  <c r="F740" i="1"/>
  <c r="G740" i="1"/>
  <c r="H740" i="1"/>
  <c r="I740" i="1"/>
  <c r="J740" i="1"/>
  <c r="A741" i="1"/>
  <c r="B741" i="1"/>
  <c r="C741" i="1"/>
  <c r="D741" i="1"/>
  <c r="E741" i="1"/>
  <c r="F741" i="1"/>
  <c r="G741" i="1"/>
  <c r="H741" i="1"/>
  <c r="I741" i="1"/>
  <c r="J741" i="1"/>
  <c r="A742" i="1"/>
  <c r="B742" i="1"/>
  <c r="C742" i="1"/>
  <c r="D742" i="1"/>
  <c r="E742" i="1"/>
  <c r="F742" i="1"/>
  <c r="G742" i="1"/>
  <c r="H742" i="1"/>
  <c r="I742" i="1"/>
  <c r="J742" i="1"/>
  <c r="A743" i="1"/>
  <c r="B743" i="1"/>
  <c r="C743" i="1"/>
  <c r="D743" i="1"/>
  <c r="E743" i="1"/>
  <c r="F743" i="1"/>
  <c r="G743" i="1"/>
  <c r="H743" i="1"/>
  <c r="I743" i="1"/>
  <c r="J743" i="1"/>
  <c r="A744" i="1"/>
  <c r="B744" i="1"/>
  <c r="C744" i="1"/>
  <c r="D744" i="1"/>
  <c r="E744" i="1"/>
  <c r="F744" i="1"/>
  <c r="G744" i="1"/>
  <c r="H744" i="1"/>
  <c r="I744" i="1"/>
  <c r="J744" i="1"/>
  <c r="A745" i="1"/>
  <c r="B745" i="1"/>
  <c r="C745" i="1"/>
  <c r="D745" i="1"/>
  <c r="E745" i="1"/>
  <c r="F745" i="1"/>
  <c r="G745" i="1"/>
  <c r="H745" i="1"/>
  <c r="I745" i="1"/>
  <c r="J745" i="1"/>
  <c r="A746" i="1"/>
  <c r="B746" i="1"/>
  <c r="C746" i="1"/>
  <c r="D746" i="1"/>
  <c r="E746" i="1"/>
  <c r="F746" i="1"/>
  <c r="G746" i="1"/>
  <c r="H746" i="1"/>
  <c r="I746" i="1"/>
  <c r="J746" i="1"/>
  <c r="A747" i="1"/>
  <c r="B747" i="1"/>
  <c r="C747" i="1"/>
  <c r="D747" i="1"/>
  <c r="E747" i="1"/>
  <c r="F747" i="1"/>
  <c r="G747" i="1"/>
  <c r="H747" i="1"/>
  <c r="I747" i="1"/>
  <c r="J747" i="1"/>
  <c r="A748" i="1"/>
  <c r="B748" i="1"/>
  <c r="C748" i="1"/>
  <c r="D748" i="1"/>
  <c r="E748" i="1"/>
  <c r="F748" i="1"/>
  <c r="G748" i="1"/>
  <c r="H748" i="1"/>
  <c r="I748" i="1"/>
  <c r="J748" i="1"/>
  <c r="A749" i="1"/>
  <c r="B749" i="1"/>
  <c r="C749" i="1"/>
  <c r="D749" i="1"/>
  <c r="E749" i="1"/>
  <c r="F749" i="1"/>
  <c r="G749" i="1"/>
  <c r="H749" i="1"/>
  <c r="I749" i="1"/>
  <c r="J749" i="1"/>
  <c r="A750" i="1"/>
  <c r="B750" i="1"/>
  <c r="C750" i="1"/>
  <c r="D750" i="1"/>
  <c r="E750" i="1"/>
  <c r="F750" i="1"/>
  <c r="G750" i="1"/>
  <c r="H750" i="1"/>
  <c r="I750" i="1"/>
  <c r="J750" i="1"/>
  <c r="A751" i="1"/>
  <c r="B751" i="1"/>
  <c r="C751" i="1"/>
  <c r="D751" i="1"/>
  <c r="E751" i="1"/>
  <c r="F751" i="1"/>
  <c r="G751" i="1"/>
  <c r="H751" i="1"/>
  <c r="I751" i="1"/>
  <c r="J751" i="1"/>
  <c r="A752" i="1"/>
  <c r="B752" i="1"/>
  <c r="C752" i="1"/>
  <c r="D752" i="1"/>
  <c r="E752" i="1"/>
  <c r="F752" i="1"/>
  <c r="G752" i="1"/>
  <c r="H752" i="1"/>
  <c r="I752" i="1"/>
  <c r="J752" i="1"/>
  <c r="A753" i="1"/>
  <c r="B753" i="1"/>
  <c r="C753" i="1"/>
  <c r="D753" i="1"/>
  <c r="E753" i="1"/>
  <c r="F753" i="1"/>
  <c r="G753" i="1"/>
  <c r="H753" i="1"/>
  <c r="I753" i="1"/>
  <c r="J753" i="1"/>
  <c r="A754" i="1"/>
  <c r="B754" i="1"/>
  <c r="C754" i="1"/>
  <c r="D754" i="1"/>
  <c r="E754" i="1"/>
  <c r="F754" i="1"/>
  <c r="G754" i="1"/>
  <c r="H754" i="1"/>
  <c r="I754" i="1"/>
  <c r="J754" i="1"/>
  <c r="A755" i="1"/>
  <c r="B755" i="1"/>
  <c r="C755" i="1"/>
  <c r="D755" i="1"/>
  <c r="E755" i="1"/>
  <c r="F755" i="1"/>
  <c r="G755" i="1"/>
  <c r="H755" i="1"/>
  <c r="I755" i="1"/>
  <c r="J755" i="1"/>
  <c r="A756" i="1"/>
  <c r="B756" i="1"/>
  <c r="C756" i="1"/>
  <c r="D756" i="1"/>
  <c r="E756" i="1"/>
  <c r="F756" i="1"/>
  <c r="G756" i="1"/>
  <c r="H756" i="1"/>
  <c r="I756" i="1"/>
  <c r="J756" i="1"/>
  <c r="A757" i="1"/>
  <c r="B757" i="1"/>
  <c r="C757" i="1"/>
  <c r="D757" i="1"/>
  <c r="E757" i="1"/>
  <c r="F757" i="1"/>
  <c r="G757" i="1"/>
  <c r="H757" i="1"/>
  <c r="I757" i="1"/>
  <c r="J757" i="1"/>
  <c r="A758" i="1"/>
  <c r="B758" i="1"/>
  <c r="C758" i="1"/>
  <c r="D758" i="1"/>
  <c r="E758" i="1"/>
  <c r="F758" i="1"/>
  <c r="G758" i="1"/>
  <c r="H758" i="1"/>
  <c r="I758" i="1"/>
  <c r="J758" i="1"/>
  <c r="A759" i="1"/>
  <c r="B759" i="1"/>
  <c r="C759" i="1"/>
  <c r="D759" i="1"/>
  <c r="E759" i="1"/>
  <c r="F759" i="1"/>
  <c r="G759" i="1"/>
  <c r="H759" i="1"/>
  <c r="I759" i="1"/>
  <c r="J759" i="1"/>
  <c r="A760" i="1"/>
  <c r="B760" i="1"/>
  <c r="C760" i="1"/>
  <c r="D760" i="1"/>
  <c r="E760" i="1"/>
  <c r="F760" i="1"/>
  <c r="G760" i="1"/>
  <c r="H760" i="1"/>
  <c r="I760" i="1"/>
  <c r="J760" i="1"/>
  <c r="A761" i="1"/>
  <c r="B761" i="1"/>
  <c r="C761" i="1"/>
  <c r="D761" i="1"/>
  <c r="E761" i="1"/>
  <c r="F761" i="1"/>
  <c r="G761" i="1"/>
  <c r="H761" i="1"/>
  <c r="I761" i="1"/>
  <c r="J761" i="1"/>
  <c r="A762" i="1"/>
  <c r="B762" i="1"/>
  <c r="C762" i="1"/>
  <c r="D762" i="1"/>
  <c r="E762" i="1"/>
  <c r="F762" i="1"/>
  <c r="G762" i="1"/>
  <c r="H762" i="1"/>
  <c r="I762" i="1"/>
  <c r="J762" i="1"/>
  <c r="A763" i="1"/>
  <c r="B763" i="1"/>
  <c r="C763" i="1"/>
  <c r="D763" i="1"/>
  <c r="E763" i="1"/>
  <c r="F763" i="1"/>
  <c r="G763" i="1"/>
  <c r="H763" i="1"/>
  <c r="I763" i="1"/>
  <c r="J763" i="1"/>
  <c r="A764" i="1"/>
  <c r="B764" i="1"/>
  <c r="C764" i="1"/>
  <c r="D764" i="1"/>
  <c r="E764" i="1"/>
  <c r="F764" i="1"/>
  <c r="G764" i="1"/>
  <c r="H764" i="1"/>
  <c r="I764" i="1"/>
  <c r="J764" i="1"/>
  <c r="A765" i="1"/>
  <c r="B765" i="1"/>
  <c r="C765" i="1"/>
  <c r="D765" i="1"/>
  <c r="E765" i="1"/>
  <c r="F765" i="1"/>
  <c r="G765" i="1"/>
  <c r="H765" i="1"/>
  <c r="I765" i="1"/>
  <c r="J765" i="1"/>
  <c r="A766" i="1"/>
  <c r="B766" i="1"/>
  <c r="C766" i="1"/>
  <c r="D766" i="1"/>
  <c r="E766" i="1"/>
  <c r="F766" i="1"/>
  <c r="G766" i="1"/>
  <c r="H766" i="1"/>
  <c r="I766" i="1"/>
  <c r="J766" i="1"/>
  <c r="A767" i="1"/>
  <c r="B767" i="1"/>
  <c r="C767" i="1"/>
  <c r="D767" i="1"/>
  <c r="E767" i="1"/>
  <c r="F767" i="1"/>
  <c r="G767" i="1"/>
  <c r="H767" i="1"/>
  <c r="I767" i="1"/>
  <c r="J767" i="1"/>
  <c r="A768" i="1"/>
  <c r="B768" i="1"/>
  <c r="C768" i="1"/>
  <c r="D768" i="1"/>
  <c r="E768" i="1"/>
  <c r="F768" i="1"/>
  <c r="G768" i="1"/>
  <c r="H768" i="1"/>
  <c r="I768" i="1"/>
  <c r="J768" i="1"/>
  <c r="A769" i="1"/>
  <c r="B769" i="1"/>
  <c r="C769" i="1"/>
  <c r="D769" i="1"/>
  <c r="E769" i="1"/>
  <c r="F769" i="1"/>
  <c r="G769" i="1"/>
  <c r="H769" i="1"/>
  <c r="I769" i="1"/>
  <c r="J769" i="1"/>
  <c r="A770" i="1"/>
  <c r="B770" i="1"/>
  <c r="C770" i="1"/>
  <c r="D770" i="1"/>
  <c r="E770" i="1"/>
  <c r="F770" i="1"/>
  <c r="G770" i="1"/>
  <c r="H770" i="1"/>
  <c r="I770" i="1"/>
  <c r="J770" i="1"/>
  <c r="A771" i="1"/>
  <c r="B771" i="1"/>
  <c r="C771" i="1"/>
  <c r="D771" i="1"/>
  <c r="E771" i="1"/>
  <c r="F771" i="1"/>
  <c r="G771" i="1"/>
  <c r="H771" i="1"/>
  <c r="I771" i="1"/>
  <c r="J771" i="1"/>
  <c r="A772" i="1"/>
  <c r="B772" i="1"/>
  <c r="C772" i="1"/>
  <c r="D772" i="1"/>
  <c r="E772" i="1"/>
  <c r="F772" i="1"/>
  <c r="G772" i="1"/>
  <c r="H772" i="1"/>
  <c r="I772" i="1"/>
  <c r="J772" i="1"/>
  <c r="A773" i="1"/>
  <c r="B773" i="1"/>
  <c r="C773" i="1"/>
  <c r="D773" i="1"/>
  <c r="E773" i="1"/>
  <c r="F773" i="1"/>
  <c r="G773" i="1"/>
  <c r="H773" i="1"/>
  <c r="I773" i="1"/>
  <c r="J773" i="1"/>
  <c r="A774" i="1"/>
  <c r="B774" i="1"/>
  <c r="C774" i="1"/>
  <c r="D774" i="1"/>
  <c r="E774" i="1"/>
  <c r="F774" i="1"/>
  <c r="G774" i="1"/>
  <c r="H774" i="1"/>
  <c r="I774" i="1"/>
  <c r="J774" i="1"/>
  <c r="A775" i="1"/>
  <c r="B775" i="1"/>
  <c r="C775" i="1"/>
  <c r="D775" i="1"/>
  <c r="E775" i="1"/>
  <c r="F775" i="1"/>
  <c r="G775" i="1"/>
  <c r="H775" i="1"/>
  <c r="I775" i="1"/>
  <c r="J775" i="1"/>
  <c r="A776" i="1"/>
  <c r="B776" i="1"/>
  <c r="C776" i="1"/>
  <c r="D776" i="1"/>
  <c r="E776" i="1"/>
  <c r="F776" i="1"/>
  <c r="G776" i="1"/>
  <c r="H776" i="1"/>
  <c r="I776" i="1"/>
  <c r="J776" i="1"/>
  <c r="A777" i="1"/>
  <c r="B777" i="1"/>
  <c r="C777" i="1"/>
  <c r="D777" i="1"/>
  <c r="E777" i="1"/>
  <c r="F777" i="1"/>
  <c r="G777" i="1"/>
  <c r="H777" i="1"/>
  <c r="I777" i="1"/>
  <c r="J777" i="1"/>
  <c r="A778" i="1"/>
  <c r="B778" i="1"/>
  <c r="C778" i="1"/>
  <c r="D778" i="1"/>
  <c r="E778" i="1"/>
  <c r="F778" i="1"/>
  <c r="G778" i="1"/>
  <c r="H778" i="1"/>
  <c r="I778" i="1"/>
  <c r="J778" i="1"/>
  <c r="A779" i="1"/>
  <c r="B779" i="1"/>
  <c r="C779" i="1"/>
  <c r="D779" i="1"/>
  <c r="E779" i="1"/>
  <c r="F779" i="1"/>
  <c r="G779" i="1"/>
  <c r="H779" i="1"/>
  <c r="I779" i="1"/>
  <c r="J779" i="1"/>
  <c r="A780" i="1"/>
  <c r="B780" i="1"/>
  <c r="C780" i="1"/>
  <c r="D780" i="1"/>
  <c r="E780" i="1"/>
  <c r="F780" i="1"/>
  <c r="G780" i="1"/>
  <c r="H780" i="1"/>
  <c r="I780" i="1"/>
  <c r="J780" i="1"/>
  <c r="A781" i="1"/>
  <c r="B781" i="1"/>
  <c r="C781" i="1"/>
  <c r="D781" i="1"/>
  <c r="E781" i="1"/>
  <c r="F781" i="1"/>
  <c r="G781" i="1"/>
  <c r="H781" i="1"/>
  <c r="I781" i="1"/>
  <c r="J781" i="1"/>
  <c r="A782" i="1"/>
  <c r="B782" i="1"/>
  <c r="C782" i="1"/>
  <c r="D782" i="1"/>
  <c r="E782" i="1"/>
  <c r="F782" i="1"/>
  <c r="G782" i="1"/>
  <c r="H782" i="1"/>
  <c r="I782" i="1"/>
  <c r="J782" i="1"/>
  <c r="A783" i="1"/>
  <c r="B783" i="1"/>
  <c r="C783" i="1"/>
  <c r="D783" i="1"/>
  <c r="E783" i="1"/>
  <c r="F783" i="1"/>
  <c r="G783" i="1"/>
  <c r="H783" i="1"/>
  <c r="I783" i="1"/>
  <c r="J783" i="1"/>
  <c r="A784" i="1"/>
  <c r="B784" i="1"/>
  <c r="C784" i="1"/>
  <c r="D784" i="1"/>
  <c r="E784" i="1"/>
  <c r="F784" i="1"/>
  <c r="G784" i="1"/>
  <c r="H784" i="1"/>
  <c r="I784" i="1"/>
  <c r="J784" i="1"/>
  <c r="A785" i="1"/>
  <c r="B785" i="1"/>
  <c r="C785" i="1"/>
  <c r="D785" i="1"/>
  <c r="E785" i="1"/>
  <c r="F785" i="1"/>
  <c r="G785" i="1"/>
  <c r="H785" i="1"/>
  <c r="I785" i="1"/>
  <c r="J785" i="1"/>
  <c r="A786" i="1"/>
  <c r="B786" i="1"/>
  <c r="C786" i="1"/>
  <c r="D786" i="1"/>
  <c r="E786" i="1"/>
  <c r="F786" i="1"/>
  <c r="G786" i="1"/>
  <c r="H786" i="1"/>
  <c r="I786" i="1"/>
  <c r="J786" i="1"/>
  <c r="A787" i="1"/>
  <c r="B787" i="1"/>
  <c r="C787" i="1"/>
  <c r="D787" i="1"/>
  <c r="E787" i="1"/>
  <c r="F787" i="1"/>
  <c r="G787" i="1"/>
  <c r="H787" i="1"/>
  <c r="I787" i="1"/>
  <c r="J787" i="1"/>
  <c r="A788" i="1"/>
  <c r="B788" i="1"/>
  <c r="C788" i="1"/>
  <c r="D788" i="1"/>
  <c r="E788" i="1"/>
  <c r="F788" i="1"/>
  <c r="G788" i="1"/>
  <c r="H788" i="1"/>
  <c r="I788" i="1"/>
  <c r="J788" i="1"/>
  <c r="A789" i="1"/>
  <c r="B789" i="1"/>
  <c r="C789" i="1"/>
  <c r="D789" i="1"/>
  <c r="E789" i="1"/>
  <c r="F789" i="1"/>
  <c r="G789" i="1"/>
  <c r="H789" i="1"/>
  <c r="I789" i="1"/>
  <c r="J789" i="1"/>
  <c r="A790" i="1"/>
  <c r="B790" i="1"/>
  <c r="C790" i="1"/>
  <c r="D790" i="1"/>
  <c r="E790" i="1"/>
  <c r="F790" i="1"/>
  <c r="G790" i="1"/>
  <c r="H790" i="1"/>
  <c r="I790" i="1"/>
  <c r="J790" i="1"/>
  <c r="A791" i="1"/>
  <c r="B791" i="1"/>
  <c r="C791" i="1"/>
  <c r="D791" i="1"/>
  <c r="E791" i="1"/>
  <c r="F791" i="1"/>
  <c r="G791" i="1"/>
  <c r="H791" i="1"/>
  <c r="I791" i="1"/>
  <c r="J791" i="1"/>
  <c r="A792" i="1"/>
  <c r="B792" i="1"/>
  <c r="C792" i="1"/>
  <c r="D792" i="1"/>
  <c r="E792" i="1"/>
  <c r="F792" i="1"/>
  <c r="G792" i="1"/>
  <c r="H792" i="1"/>
  <c r="I792" i="1"/>
  <c r="J792" i="1"/>
  <c r="A793" i="1"/>
  <c r="B793" i="1"/>
  <c r="C793" i="1"/>
  <c r="D793" i="1"/>
  <c r="E793" i="1"/>
  <c r="F793" i="1"/>
  <c r="G793" i="1"/>
  <c r="H793" i="1"/>
  <c r="I793" i="1"/>
  <c r="J793" i="1"/>
  <c r="A794" i="1"/>
  <c r="B794" i="1"/>
  <c r="C794" i="1"/>
  <c r="D794" i="1"/>
  <c r="E794" i="1"/>
  <c r="F794" i="1"/>
  <c r="G794" i="1"/>
  <c r="H794" i="1"/>
  <c r="I794" i="1"/>
  <c r="J794" i="1"/>
  <c r="A795" i="1"/>
  <c r="B795" i="1"/>
  <c r="C795" i="1"/>
  <c r="D795" i="1"/>
  <c r="E795" i="1"/>
  <c r="F795" i="1"/>
  <c r="G795" i="1"/>
  <c r="H795" i="1"/>
  <c r="I795" i="1"/>
  <c r="J795" i="1"/>
  <c r="A796" i="1"/>
  <c r="B796" i="1"/>
  <c r="C796" i="1"/>
  <c r="D796" i="1"/>
  <c r="E796" i="1"/>
  <c r="F796" i="1"/>
  <c r="G796" i="1"/>
  <c r="H796" i="1"/>
  <c r="I796" i="1"/>
  <c r="J796" i="1"/>
  <c r="A797" i="1"/>
  <c r="B797" i="1"/>
  <c r="C797" i="1"/>
  <c r="D797" i="1"/>
  <c r="E797" i="1"/>
  <c r="F797" i="1"/>
  <c r="G797" i="1"/>
  <c r="H797" i="1"/>
  <c r="I797" i="1"/>
  <c r="J797" i="1"/>
  <c r="A798" i="1"/>
  <c r="B798" i="1"/>
  <c r="C798" i="1"/>
  <c r="D798" i="1"/>
  <c r="E798" i="1"/>
  <c r="F798" i="1"/>
  <c r="G798" i="1"/>
  <c r="H798" i="1"/>
  <c r="I798" i="1"/>
  <c r="J798" i="1"/>
  <c r="A799" i="1"/>
  <c r="B799" i="1"/>
  <c r="C799" i="1"/>
  <c r="D799" i="1"/>
  <c r="E799" i="1"/>
  <c r="F799" i="1"/>
  <c r="G799" i="1"/>
  <c r="H799" i="1"/>
  <c r="I799" i="1"/>
  <c r="J799" i="1"/>
  <c r="A800" i="1"/>
  <c r="B800" i="1"/>
  <c r="C800" i="1"/>
  <c r="D800" i="1"/>
  <c r="E800" i="1"/>
  <c r="F800" i="1"/>
  <c r="G800" i="1"/>
  <c r="H800" i="1"/>
  <c r="I800" i="1"/>
  <c r="J800" i="1"/>
  <c r="A801" i="1"/>
  <c r="B801" i="1"/>
  <c r="C801" i="1"/>
  <c r="D801" i="1"/>
  <c r="E801" i="1"/>
  <c r="F801" i="1"/>
  <c r="G801" i="1"/>
  <c r="H801" i="1"/>
  <c r="I801" i="1"/>
  <c r="J801" i="1"/>
  <c r="A802" i="1"/>
  <c r="B802" i="1"/>
  <c r="C802" i="1"/>
  <c r="D802" i="1"/>
  <c r="E802" i="1"/>
  <c r="F802" i="1"/>
  <c r="G802" i="1"/>
  <c r="H802" i="1"/>
  <c r="I802" i="1"/>
  <c r="J802" i="1"/>
  <c r="A803" i="1"/>
  <c r="B803" i="1"/>
  <c r="C803" i="1"/>
  <c r="D803" i="1"/>
  <c r="E803" i="1"/>
  <c r="F803" i="1"/>
  <c r="G803" i="1"/>
  <c r="H803" i="1"/>
  <c r="I803" i="1"/>
  <c r="J803" i="1"/>
  <c r="A804" i="1"/>
  <c r="B804" i="1"/>
  <c r="C804" i="1"/>
  <c r="D804" i="1"/>
  <c r="E804" i="1"/>
  <c r="F804" i="1"/>
  <c r="G804" i="1"/>
  <c r="H804" i="1"/>
  <c r="I804" i="1"/>
  <c r="J804" i="1"/>
  <c r="A805" i="1"/>
  <c r="B805" i="1"/>
  <c r="C805" i="1"/>
  <c r="D805" i="1"/>
  <c r="E805" i="1"/>
  <c r="F805" i="1"/>
  <c r="G805" i="1"/>
  <c r="H805" i="1"/>
  <c r="I805" i="1"/>
  <c r="J805" i="1"/>
  <c r="A806" i="1"/>
  <c r="B806" i="1"/>
  <c r="C806" i="1"/>
  <c r="D806" i="1"/>
  <c r="E806" i="1"/>
  <c r="F806" i="1"/>
  <c r="G806" i="1"/>
  <c r="H806" i="1"/>
  <c r="I806" i="1"/>
  <c r="J806" i="1"/>
  <c r="A807" i="1"/>
  <c r="B807" i="1"/>
  <c r="C807" i="1"/>
  <c r="D807" i="1"/>
  <c r="E807" i="1"/>
  <c r="F807" i="1"/>
  <c r="G807" i="1"/>
  <c r="H807" i="1"/>
  <c r="I807" i="1"/>
  <c r="J807" i="1"/>
  <c r="A808" i="1"/>
  <c r="B808" i="1"/>
  <c r="C808" i="1"/>
  <c r="D808" i="1"/>
  <c r="E808" i="1"/>
  <c r="F808" i="1"/>
  <c r="G808" i="1"/>
  <c r="H808" i="1"/>
  <c r="I808" i="1"/>
  <c r="J808" i="1"/>
  <c r="A809" i="1"/>
  <c r="B809" i="1"/>
  <c r="C809" i="1"/>
  <c r="D809" i="1"/>
  <c r="E809" i="1"/>
  <c r="F809" i="1"/>
  <c r="G809" i="1"/>
  <c r="H809" i="1"/>
  <c r="I809" i="1"/>
  <c r="J809" i="1"/>
  <c r="A810" i="1"/>
  <c r="B810" i="1"/>
  <c r="C810" i="1"/>
  <c r="D810" i="1"/>
  <c r="E810" i="1"/>
  <c r="F810" i="1"/>
  <c r="G810" i="1"/>
  <c r="H810" i="1"/>
  <c r="I810" i="1"/>
  <c r="J810" i="1"/>
  <c r="A811" i="1"/>
  <c r="B811" i="1"/>
  <c r="C811" i="1"/>
  <c r="D811" i="1"/>
  <c r="E811" i="1"/>
  <c r="F811" i="1"/>
  <c r="G811" i="1"/>
  <c r="H811" i="1"/>
  <c r="I811" i="1"/>
  <c r="J811" i="1"/>
  <c r="A812" i="1"/>
  <c r="B812" i="1"/>
  <c r="C812" i="1"/>
  <c r="D812" i="1"/>
  <c r="E812" i="1"/>
  <c r="F812" i="1"/>
  <c r="G812" i="1"/>
  <c r="H812" i="1"/>
  <c r="I812" i="1"/>
  <c r="J812" i="1"/>
  <c r="A813" i="1"/>
  <c r="B813" i="1"/>
  <c r="C813" i="1"/>
  <c r="D813" i="1"/>
  <c r="E813" i="1"/>
  <c r="F813" i="1"/>
  <c r="G813" i="1"/>
  <c r="H813" i="1"/>
  <c r="I813" i="1"/>
  <c r="J813" i="1"/>
  <c r="A814" i="1"/>
  <c r="B814" i="1"/>
  <c r="C814" i="1"/>
  <c r="D814" i="1"/>
  <c r="E814" i="1"/>
  <c r="F814" i="1"/>
  <c r="G814" i="1"/>
  <c r="H814" i="1"/>
  <c r="I814" i="1"/>
  <c r="J814" i="1"/>
  <c r="A815" i="1"/>
  <c r="B815" i="1"/>
  <c r="C815" i="1"/>
  <c r="D815" i="1"/>
  <c r="E815" i="1"/>
  <c r="F815" i="1"/>
  <c r="G815" i="1"/>
  <c r="H815" i="1"/>
  <c r="I815" i="1"/>
  <c r="J815" i="1"/>
  <c r="A816" i="1"/>
  <c r="B816" i="1"/>
  <c r="C816" i="1"/>
  <c r="D816" i="1"/>
  <c r="E816" i="1"/>
  <c r="F816" i="1"/>
  <c r="G816" i="1"/>
  <c r="H816" i="1"/>
  <c r="I816" i="1"/>
  <c r="J816" i="1"/>
  <c r="A817" i="1"/>
  <c r="B817" i="1"/>
  <c r="C817" i="1"/>
  <c r="D817" i="1"/>
  <c r="E817" i="1"/>
  <c r="F817" i="1"/>
  <c r="G817" i="1"/>
  <c r="H817" i="1"/>
  <c r="I817" i="1"/>
  <c r="J817" i="1"/>
  <c r="A818" i="1"/>
  <c r="B818" i="1"/>
  <c r="C818" i="1"/>
  <c r="D818" i="1"/>
  <c r="E818" i="1"/>
  <c r="F818" i="1"/>
  <c r="G818" i="1"/>
  <c r="H818" i="1"/>
  <c r="I818" i="1"/>
  <c r="J818" i="1"/>
  <c r="A819" i="1"/>
  <c r="B819" i="1"/>
  <c r="C819" i="1"/>
  <c r="D819" i="1"/>
  <c r="E819" i="1"/>
  <c r="F819" i="1"/>
  <c r="G819" i="1"/>
  <c r="H819" i="1"/>
  <c r="I819" i="1"/>
  <c r="J819" i="1"/>
  <c r="A820" i="1"/>
  <c r="B820" i="1"/>
  <c r="C820" i="1"/>
  <c r="D820" i="1"/>
  <c r="E820" i="1"/>
  <c r="F820" i="1"/>
  <c r="G820" i="1"/>
  <c r="H820" i="1"/>
  <c r="I820" i="1"/>
  <c r="J820" i="1"/>
  <c r="A821" i="1"/>
  <c r="B821" i="1"/>
  <c r="C821" i="1"/>
  <c r="D821" i="1"/>
  <c r="E821" i="1"/>
  <c r="F821" i="1"/>
  <c r="G821" i="1"/>
  <c r="H821" i="1"/>
  <c r="I821" i="1"/>
  <c r="J821" i="1"/>
  <c r="A822" i="1"/>
  <c r="B822" i="1"/>
  <c r="C822" i="1"/>
  <c r="D822" i="1"/>
  <c r="E822" i="1"/>
  <c r="F822" i="1"/>
  <c r="G822" i="1"/>
  <c r="H822" i="1"/>
  <c r="I822" i="1"/>
  <c r="J822" i="1"/>
  <c r="A823" i="1"/>
  <c r="B823" i="1"/>
  <c r="C823" i="1"/>
  <c r="D823" i="1"/>
  <c r="E823" i="1"/>
  <c r="F823" i="1"/>
  <c r="G823" i="1"/>
  <c r="H823" i="1"/>
  <c r="I823" i="1"/>
  <c r="J823" i="1"/>
  <c r="A824" i="1"/>
  <c r="B824" i="1"/>
  <c r="C824" i="1"/>
  <c r="D824" i="1"/>
  <c r="E824" i="1"/>
  <c r="F824" i="1"/>
  <c r="G824" i="1"/>
  <c r="H824" i="1"/>
  <c r="I824" i="1"/>
  <c r="J824" i="1"/>
  <c r="A825" i="1"/>
  <c r="B825" i="1"/>
  <c r="C825" i="1"/>
  <c r="D825" i="1"/>
  <c r="E825" i="1"/>
  <c r="F825" i="1"/>
  <c r="G825" i="1"/>
  <c r="H825" i="1"/>
  <c r="I825" i="1"/>
  <c r="J825" i="1"/>
  <c r="A826" i="1"/>
  <c r="B826" i="1"/>
  <c r="C826" i="1"/>
  <c r="D826" i="1"/>
  <c r="E826" i="1"/>
  <c r="F826" i="1"/>
  <c r="G826" i="1"/>
  <c r="H826" i="1"/>
  <c r="I826" i="1"/>
  <c r="J826" i="1"/>
  <c r="A827" i="1"/>
  <c r="B827" i="1"/>
  <c r="C827" i="1"/>
  <c r="D827" i="1"/>
  <c r="E827" i="1"/>
  <c r="F827" i="1"/>
  <c r="G827" i="1"/>
  <c r="H827" i="1"/>
  <c r="I827" i="1"/>
  <c r="J827" i="1"/>
  <c r="A828" i="1"/>
  <c r="B828" i="1"/>
  <c r="C828" i="1"/>
  <c r="D828" i="1"/>
  <c r="E828" i="1"/>
  <c r="F828" i="1"/>
  <c r="G828" i="1"/>
  <c r="H828" i="1"/>
  <c r="I828" i="1"/>
  <c r="J828" i="1"/>
  <c r="A829" i="1"/>
  <c r="B829" i="1"/>
  <c r="C829" i="1"/>
  <c r="D829" i="1"/>
  <c r="E829" i="1"/>
  <c r="F829" i="1"/>
  <c r="G829" i="1"/>
  <c r="H829" i="1"/>
  <c r="I829" i="1"/>
  <c r="J829" i="1"/>
  <c r="A830" i="1"/>
  <c r="B830" i="1"/>
  <c r="C830" i="1"/>
  <c r="D830" i="1"/>
  <c r="E830" i="1"/>
  <c r="F830" i="1"/>
  <c r="G830" i="1"/>
  <c r="H830" i="1"/>
  <c r="I830" i="1"/>
  <c r="J830" i="1"/>
  <c r="A831" i="1"/>
  <c r="B831" i="1"/>
  <c r="C831" i="1"/>
  <c r="D831" i="1"/>
  <c r="E831" i="1"/>
  <c r="F831" i="1"/>
  <c r="G831" i="1"/>
  <c r="H831" i="1"/>
  <c r="I831" i="1"/>
  <c r="J831" i="1"/>
  <c r="A832" i="1"/>
  <c r="B832" i="1"/>
  <c r="C832" i="1"/>
  <c r="D832" i="1"/>
  <c r="E832" i="1"/>
  <c r="F832" i="1"/>
  <c r="G832" i="1"/>
  <c r="H832" i="1"/>
  <c r="I832" i="1"/>
  <c r="J832" i="1"/>
  <c r="A833" i="1"/>
  <c r="B833" i="1"/>
  <c r="C833" i="1"/>
  <c r="D833" i="1"/>
  <c r="E833" i="1"/>
  <c r="F833" i="1"/>
  <c r="G833" i="1"/>
  <c r="H833" i="1"/>
  <c r="I833" i="1"/>
  <c r="J833" i="1"/>
  <c r="A834" i="1"/>
  <c r="B834" i="1"/>
  <c r="C834" i="1"/>
  <c r="D834" i="1"/>
  <c r="E834" i="1"/>
  <c r="F834" i="1"/>
  <c r="G834" i="1"/>
  <c r="H834" i="1"/>
  <c r="I834" i="1"/>
  <c r="J834" i="1"/>
  <c r="A835" i="1"/>
  <c r="B835" i="1"/>
  <c r="C835" i="1"/>
  <c r="D835" i="1"/>
  <c r="E835" i="1"/>
  <c r="F835" i="1"/>
  <c r="G835" i="1"/>
  <c r="H835" i="1"/>
  <c r="I835" i="1"/>
  <c r="J835" i="1"/>
  <c r="A836" i="1"/>
  <c r="B836" i="1"/>
  <c r="C836" i="1"/>
  <c r="D836" i="1"/>
  <c r="E836" i="1"/>
  <c r="F836" i="1"/>
  <c r="G836" i="1"/>
  <c r="H836" i="1"/>
  <c r="I836" i="1"/>
  <c r="J836" i="1"/>
  <c r="A837" i="1"/>
  <c r="B837" i="1"/>
  <c r="C837" i="1"/>
  <c r="D837" i="1"/>
  <c r="E837" i="1"/>
  <c r="F837" i="1"/>
  <c r="G837" i="1"/>
  <c r="H837" i="1"/>
  <c r="I837" i="1"/>
  <c r="J837" i="1"/>
  <c r="A838" i="1"/>
  <c r="B838" i="1"/>
  <c r="C838" i="1"/>
  <c r="D838" i="1"/>
  <c r="E838" i="1"/>
  <c r="F838" i="1"/>
  <c r="G838" i="1"/>
  <c r="H838" i="1"/>
  <c r="I838" i="1"/>
  <c r="J838" i="1"/>
  <c r="A839" i="1"/>
  <c r="B839" i="1"/>
  <c r="C839" i="1"/>
  <c r="D839" i="1"/>
  <c r="E839" i="1"/>
  <c r="F839" i="1"/>
  <c r="G839" i="1"/>
  <c r="H839" i="1"/>
  <c r="I839" i="1"/>
  <c r="J839" i="1"/>
  <c r="A840" i="1"/>
  <c r="B840" i="1"/>
  <c r="C840" i="1"/>
  <c r="D840" i="1"/>
  <c r="E840" i="1"/>
  <c r="F840" i="1"/>
  <c r="G840" i="1"/>
  <c r="H840" i="1"/>
  <c r="I840" i="1"/>
  <c r="J840" i="1"/>
  <c r="A841" i="1"/>
  <c r="B841" i="1"/>
  <c r="C841" i="1"/>
  <c r="D841" i="1"/>
  <c r="E841" i="1"/>
  <c r="F841" i="1"/>
  <c r="G841" i="1"/>
  <c r="H841" i="1"/>
  <c r="I841" i="1"/>
  <c r="J841" i="1"/>
  <c r="A842" i="1"/>
  <c r="B842" i="1"/>
  <c r="C842" i="1"/>
  <c r="D842" i="1"/>
  <c r="E842" i="1"/>
  <c r="F842" i="1"/>
  <c r="G842" i="1"/>
  <c r="H842" i="1"/>
  <c r="I842" i="1"/>
  <c r="J842" i="1"/>
  <c r="A843" i="1"/>
  <c r="B843" i="1"/>
  <c r="C843" i="1"/>
  <c r="D843" i="1"/>
  <c r="E843" i="1"/>
  <c r="F843" i="1"/>
  <c r="G843" i="1"/>
  <c r="H843" i="1"/>
  <c r="I843" i="1"/>
  <c r="J843" i="1"/>
  <c r="A844" i="1"/>
  <c r="B844" i="1"/>
  <c r="C844" i="1"/>
  <c r="D844" i="1"/>
  <c r="E844" i="1"/>
  <c r="F844" i="1"/>
  <c r="G844" i="1"/>
  <c r="H844" i="1"/>
  <c r="I844" i="1"/>
  <c r="J844" i="1"/>
  <c r="A845" i="1"/>
  <c r="B845" i="1"/>
  <c r="C845" i="1"/>
  <c r="D845" i="1"/>
  <c r="E845" i="1"/>
  <c r="F845" i="1"/>
  <c r="G845" i="1"/>
  <c r="H845" i="1"/>
  <c r="I845" i="1"/>
  <c r="J845" i="1"/>
  <c r="A846" i="1"/>
  <c r="B846" i="1"/>
  <c r="C846" i="1"/>
  <c r="D846" i="1"/>
  <c r="E846" i="1"/>
  <c r="F846" i="1"/>
  <c r="G846" i="1"/>
  <c r="H846" i="1"/>
  <c r="I846" i="1"/>
  <c r="J846" i="1"/>
  <c r="A847" i="1"/>
  <c r="B847" i="1"/>
  <c r="C847" i="1"/>
  <c r="D847" i="1"/>
  <c r="E847" i="1"/>
  <c r="F847" i="1"/>
  <c r="G847" i="1"/>
  <c r="H847" i="1"/>
  <c r="I847" i="1"/>
  <c r="J847" i="1"/>
  <c r="A848" i="1"/>
  <c r="B848" i="1"/>
  <c r="C848" i="1"/>
  <c r="D848" i="1"/>
  <c r="E848" i="1"/>
  <c r="F848" i="1"/>
  <c r="G848" i="1"/>
  <c r="H848" i="1"/>
  <c r="I848" i="1"/>
  <c r="J848" i="1"/>
</calcChain>
</file>

<file path=xl/sharedStrings.xml><?xml version="1.0" encoding="utf-8"?>
<sst xmlns="http://schemas.openxmlformats.org/spreadsheetml/2006/main" count="31585" uniqueCount="5256">
  <si>
    <t>Configuration</t>
  </si>
  <si>
    <t>Term</t>
  </si>
  <si>
    <t>J</t>
  </si>
  <si>
    <t>Prefix</t>
  </si>
  <si>
    <t>Level (cm-1)</t>
  </si>
  <si>
    <t>Suffix</t>
  </si>
  <si>
    <t>Uncertainty (cm-1)</t>
  </si>
  <si>
    <t>Lande</t>
  </si>
  <si>
    <t>Leading percentages</t>
  </si>
  <si>
    <t>Reference</t>
  </si>
  <si>
    <t>4d7.(a 4F).5s</t>
  </si>
  <si>
    <t>a 5F</t>
  </si>
  <si>
    <t>L3466</t>
  </si>
  <si>
    <t>a 3F</t>
  </si>
  <si>
    <t>4d6.5s2</t>
  </si>
  <si>
    <t>a 5D</t>
  </si>
  <si>
    <t>4d7.(a 4P).5s</t>
  </si>
  <si>
    <t>a 5P</t>
  </si>
  <si>
    <t>4d8</t>
  </si>
  <si>
    <t>b 3F</t>
  </si>
  <si>
    <t>4d7.(a 2P).5s</t>
  </si>
  <si>
    <t>a 3P</t>
  </si>
  <si>
    <t>4d7.(a 2G).5s</t>
  </si>
  <si>
    <t>a 3G</t>
  </si>
  <si>
    <t>b 3P</t>
  </si>
  <si>
    <t>a 1G</t>
  </si>
  <si>
    <t>4d7.(a 2D).5s</t>
  </si>
  <si>
    <t>a 3D</t>
  </si>
  <si>
    <t>4d7.(a 2H).5s</t>
  </si>
  <si>
    <t>a 3H</t>
  </si>
  <si>
    <t>a 1D</t>
  </si>
  <si>
    <t>a 1H</t>
  </si>
  <si>
    <t>a 1P</t>
  </si>
  <si>
    <t>c 3P</t>
  </si>
  <si>
    <t>?</t>
  </si>
  <si>
    <t>c 3F</t>
  </si>
  <si>
    <t>b 3H</t>
  </si>
  <si>
    <t>0.91?</t>
  </si>
  <si>
    <t>b 1G</t>
  </si>
  <si>
    <t>b 1D</t>
  </si>
  <si>
    <t>d 3P?</t>
  </si>
  <si>
    <t>4d6.5s.(a 6D).5p</t>
  </si>
  <si>
    <t>z 7D*</t>
  </si>
  <si>
    <t>b 3G</t>
  </si>
  <si>
    <t>4d7.(a 4F).5p</t>
  </si>
  <si>
    <t>z 5D*</t>
  </si>
  <si>
    <t>z 5F*</t>
  </si>
  <si>
    <t>4d7.(a 2F).5s?</t>
  </si>
  <si>
    <t>d 3F</t>
  </si>
  <si>
    <t>z 3G*</t>
  </si>
  <si>
    <t>z 5G*</t>
  </si>
  <si>
    <t>z 7F*</t>
  </si>
  <si>
    <t>b 3D</t>
  </si>
  <si>
    <t>z 7P*</t>
  </si>
  <si>
    <t>z 3F*</t>
  </si>
  <si>
    <t>z 3D*</t>
  </si>
  <si>
    <t>4d7.(a 4P).5p</t>
  </si>
  <si>
    <t>z 5S*</t>
  </si>
  <si>
    <t>y 5D*</t>
  </si>
  <si>
    <t>z 5P*</t>
  </si>
  <si>
    <t>y 5F*</t>
  </si>
  <si>
    <t>x 5D*</t>
  </si>
  <si>
    <t>y 3D*</t>
  </si>
  <si>
    <t>z 3P*</t>
  </si>
  <si>
    <t>4d7.(a 2G).5p</t>
  </si>
  <si>
    <t>y 3F*</t>
  </si>
  <si>
    <t>z 3H*</t>
  </si>
  <si>
    <t>z 3S*</t>
  </si>
  <si>
    <t>y 5P*</t>
  </si>
  <si>
    <t>z 1G*</t>
  </si>
  <si>
    <t>y 3G*</t>
  </si>
  <si>
    <t>4d7.(a 2P).5p</t>
  </si>
  <si>
    <t>y 3P*</t>
  </si>
  <si>
    <t>1*(3F*)</t>
  </si>
  <si>
    <t>z 1H*</t>
  </si>
  <si>
    <t>x 3D*</t>
  </si>
  <si>
    <t>z 1F*</t>
  </si>
  <si>
    <t>4d7.(a 2D).5p</t>
  </si>
  <si>
    <t>x 3F*</t>
  </si>
  <si>
    <t>4d7.(a 4F).6s</t>
  </si>
  <si>
    <t>e 5F</t>
  </si>
  <si>
    <t>w 3D*</t>
  </si>
  <si>
    <t>4d7.(a 2H).5p</t>
  </si>
  <si>
    <t>z 3I*</t>
  </si>
  <si>
    <t>x 3G*</t>
  </si>
  <si>
    <t>z 1D*</t>
  </si>
  <si>
    <t>e 3F</t>
  </si>
  <si>
    <t>v 3D*</t>
  </si>
  <si>
    <t>z 1I*</t>
  </si>
  <si>
    <t>z 1P*</t>
  </si>
  <si>
    <t>z 1S*</t>
  </si>
  <si>
    <t>A</t>
  </si>
  <si>
    <t>y 1F*</t>
  </si>
  <si>
    <t>y 3S*</t>
  </si>
  <si>
    <t>u 3D*</t>
  </si>
  <si>
    <t>y 3H*</t>
  </si>
  <si>
    <t>y 1H*</t>
  </si>
  <si>
    <t>w 3G*</t>
  </si>
  <si>
    <t>y 1D*</t>
  </si>
  <si>
    <t>2*(5G*)</t>
  </si>
  <si>
    <t>x 3P*</t>
  </si>
  <si>
    <t>4d6.5s.(a 4D).5p</t>
  </si>
  <si>
    <t>w 5D*</t>
  </si>
  <si>
    <t>3*(3P*)</t>
  </si>
  <si>
    <t>x 5F*</t>
  </si>
  <si>
    <t>4*</t>
  </si>
  <si>
    <t>5*(5G*)</t>
  </si>
  <si>
    <t>4d6.5s.(b 4P).5p</t>
  </si>
  <si>
    <t>y 5S*</t>
  </si>
  <si>
    <t>4d7.(a 2F).5p?</t>
  </si>
  <si>
    <t>x 1F*</t>
  </si>
  <si>
    <t>y 1G*</t>
  </si>
  <si>
    <t>6*</t>
  </si>
  <si>
    <t>x 1G*</t>
  </si>
  <si>
    <t>7*</t>
  </si>
  <si>
    <t>4d7.(a 4F).6p?</t>
  </si>
  <si>
    <t>w 3F*</t>
  </si>
  <si>
    <t>t 3D*</t>
  </si>
  <si>
    <t>8*</t>
  </si>
  <si>
    <t>9*</t>
  </si>
  <si>
    <t>10*</t>
  </si>
  <si>
    <t>11*</t>
  </si>
  <si>
    <t>12*</t>
  </si>
  <si>
    <t>13*</t>
  </si>
  <si>
    <t>4d6.5s.(b 2H).5p?</t>
  </si>
  <si>
    <t>x 1H*</t>
  </si>
  <si>
    <t>4d7.(a 2D).5p?</t>
  </si>
  <si>
    <t>y 1P*</t>
  </si>
  <si>
    <t>14*</t>
  </si>
  <si>
    <t>x 5P*</t>
  </si>
  <si>
    <t>15*</t>
  </si>
  <si>
    <t>4d7.(a 4F).5d?</t>
  </si>
  <si>
    <t>f 5F</t>
  </si>
  <si>
    <t>e 5D</t>
  </si>
  <si>
    <t>e 5G</t>
  </si>
  <si>
    <t>16*</t>
  </si>
  <si>
    <t>e 3G</t>
  </si>
  <si>
    <t>17*</t>
  </si>
  <si>
    <t>18*(5D*)</t>
  </si>
  <si>
    <t>19*</t>
  </si>
  <si>
    <t>s 3D*</t>
  </si>
  <si>
    <t>20*(5D*)</t>
  </si>
  <si>
    <t>21*</t>
  </si>
  <si>
    <t>B(3F)</t>
  </si>
  <si>
    <t>22*</t>
  </si>
  <si>
    <t>23*</t>
  </si>
  <si>
    <t>24*</t>
  </si>
  <si>
    <t>25*</t>
  </si>
  <si>
    <t>26*</t>
  </si>
  <si>
    <t>27*</t>
  </si>
  <si>
    <t>28*</t>
  </si>
  <si>
    <t>29*</t>
  </si>
  <si>
    <t>30*</t>
  </si>
  <si>
    <t>31*</t>
  </si>
  <si>
    <t>32*</t>
  </si>
  <si>
    <t>33*</t>
  </si>
  <si>
    <t>4d6.5s.(a 6D).6s</t>
  </si>
  <si>
    <t>e 7D</t>
  </si>
  <si>
    <t>34*</t>
  </si>
  <si>
    <t>e 3D</t>
  </si>
  <si>
    <t>35*</t>
  </si>
  <si>
    <t>36*</t>
  </si>
  <si>
    <t>37*</t>
  </si>
  <si>
    <t>3?</t>
  </si>
  <si>
    <t>38*</t>
  </si>
  <si>
    <t>39*</t>
  </si>
  <si>
    <t>40*</t>
  </si>
  <si>
    <t>41*</t>
  </si>
  <si>
    <t>42*</t>
  </si>
  <si>
    <t>43*</t>
  </si>
  <si>
    <t>44*</t>
  </si>
  <si>
    <t>45*</t>
  </si>
  <si>
    <t>46*</t>
  </si>
  <si>
    <t>47*</t>
  </si>
  <si>
    <t>4d7.(a 4P).5d</t>
  </si>
  <si>
    <t>e 5P</t>
  </si>
  <si>
    <t>48*</t>
  </si>
  <si>
    <t>49*</t>
  </si>
  <si>
    <t>50*</t>
  </si>
  <si>
    <t>51*</t>
  </si>
  <si>
    <t>4?</t>
  </si>
  <si>
    <t>4d6.5s.(a 6D).5d</t>
  </si>
  <si>
    <t>e 5S</t>
  </si>
  <si>
    <t>C(7F)</t>
  </si>
  <si>
    <t>4d6.5s.(a 6D).5d?</t>
  </si>
  <si>
    <t>f 7D</t>
  </si>
  <si>
    <t>52*</t>
  </si>
  <si>
    <t>53*</t>
  </si>
  <si>
    <t>54*</t>
  </si>
  <si>
    <t>v 3G*</t>
  </si>
  <si>
    <t>55*</t>
  </si>
  <si>
    <t>56*</t>
  </si>
  <si>
    <t>57*</t>
  </si>
  <si>
    <t>58*</t>
  </si>
  <si>
    <t>f 5D</t>
  </si>
  <si>
    <t>59*</t>
  </si>
  <si>
    <t>60*</t>
  </si>
  <si>
    <t>61*</t>
  </si>
  <si>
    <t>D</t>
  </si>
  <si>
    <t>62*</t>
  </si>
  <si>
    <t>E</t>
  </si>
  <si>
    <t>Ru II (4d7 4F&lt;9/2&gt;)</t>
  </si>
  <si>
    <t>Limit</t>
  </si>
  <si>
    <t>---</t>
  </si>
  <si>
    <t>L10032</t>
  </si>
  <si>
    <t>5d10.6s</t>
  </si>
  <si>
    <t>2S</t>
  </si>
  <si>
    <t>L1336</t>
  </si>
  <si>
    <t>5d9.6s2</t>
  </si>
  <si>
    <t>2D</t>
  </si>
  <si>
    <t>5d10.6p</t>
  </si>
  <si>
    <t>2P*</t>
  </si>
  <si>
    <t>5d9&lt;5/2&gt;.6s&lt;1/2&gt;.6p&lt;1/2&gt;</t>
  </si>
  <si>
    <t>4P*</t>
  </si>
  <si>
    <t>4F*</t>
  </si>
  <si>
    <t>5d9&lt;5/2&gt;.6s&lt;1/2&gt;.6p&lt;3/2&gt;</t>
  </si>
  <si>
    <t>4D*</t>
  </si>
  <si>
    <t>L4231</t>
  </si>
  <si>
    <t>2D*</t>
  </si>
  <si>
    <t>2F*</t>
  </si>
  <si>
    <t>5d10.7s</t>
  </si>
  <si>
    <t>5d9&lt;3/2&gt;.6s&lt;1/2&gt;.6p&lt;1/2&gt;</t>
  </si>
  <si>
    <t>5d9&lt;3/2&gt;.6s&lt;1/2&gt;.6p&lt;3/2&gt;</t>
  </si>
  <si>
    <t>5d10.7p</t>
  </si>
  <si>
    <t>1.33?</t>
  </si>
  <si>
    <t>5d10.6d</t>
  </si>
  <si>
    <t>5d10.8s</t>
  </si>
  <si>
    <t>5d10.8p</t>
  </si>
  <si>
    <t>5d10.7d</t>
  </si>
  <si>
    <t>5d10.5f</t>
  </si>
  <si>
    <t>5d9.6s.(3D&lt;3&gt;).7s</t>
  </si>
  <si>
    <t>4D</t>
  </si>
  <si>
    <t>5d10.9s</t>
  </si>
  <si>
    <t>5d10.8d</t>
  </si>
  <si>
    <t>5d10.10s</t>
  </si>
  <si>
    <t>5d9.6s.(3D&lt;2&gt;).7s</t>
  </si>
  <si>
    <t>5d10.9d</t>
  </si>
  <si>
    <t>5d10.11s</t>
  </si>
  <si>
    <t>5d10.10d</t>
  </si>
  <si>
    <t>5d10.12s</t>
  </si>
  <si>
    <t>5d10.11d</t>
  </si>
  <si>
    <t>5d10.13s</t>
  </si>
  <si>
    <t>5d10.12d</t>
  </si>
  <si>
    <t>5d10.14s</t>
  </si>
  <si>
    <t>5d10.13d</t>
  </si>
  <si>
    <t>5d10.14d</t>
  </si>
  <si>
    <t>Au II (5d10 1S&lt;0&gt;)</t>
  </si>
  <si>
    <t>L12088</t>
  </si>
  <si>
    <t>1/2</t>
  </si>
  <si>
    <t>5/2</t>
  </si>
  <si>
    <t>3/2</t>
  </si>
  <si>
    <t>7/2</t>
  </si>
  <si>
    <t>9/2</t>
  </si>
  <si>
    <t>3d8.(3F).4s2</t>
  </si>
  <si>
    <t>3F</t>
  </si>
  <si>
    <t>L11151</t>
  </si>
  <si>
    <t>3d9.(2D).4s</t>
  </si>
  <si>
    <t>3D</t>
  </si>
  <si>
    <t xml:space="preserve">  90             :     9  3d9.(2D).4s          1D      </t>
  </si>
  <si>
    <t>1D</t>
  </si>
  <si>
    <t xml:space="preserve">  89             :     9  3d9.(2D).4s          3D      </t>
  </si>
  <si>
    <t>3d8.(1D).4s2</t>
  </si>
  <si>
    <t xml:space="preserve">  77             :    19  3d8.(3P).4s2         3P      </t>
  </si>
  <si>
    <t>3d10</t>
  </si>
  <si>
    <t>1S</t>
  </si>
  <si>
    <t>3d8.(3P).4s2</t>
  </si>
  <si>
    <t>3P</t>
  </si>
  <si>
    <t xml:space="preserve">  78             :    18  3d8.(1D).4s2         1D      </t>
  </si>
  <si>
    <t>3d8.(1G).4s2</t>
  </si>
  <si>
    <t>1G</t>
  </si>
  <si>
    <t>3d8.(3F).4s.4p.(3P*)</t>
  </si>
  <si>
    <t>5D*</t>
  </si>
  <si>
    <t>5G*</t>
  </si>
  <si>
    <t xml:space="preserve">  82             :    14  3d8.(3F).4s.4p.(3P*) 5F*     </t>
  </si>
  <si>
    <t xml:space="preserve">  83             :    12  3d8.(3F).4s.4p.(3P*) 5F*     </t>
  </si>
  <si>
    <t xml:space="preserve">  87             :     8  3d8.(3F).4s.4p.(3P*) 5F*     </t>
  </si>
  <si>
    <t>5F*</t>
  </si>
  <si>
    <t xml:space="preserve">  85             :    13  3d8.(3F).4s.4p.(3P*) 5G*     </t>
  </si>
  <si>
    <t xml:space="preserve">  75             :    11  3d8.(3F).4s.4p.(3P*) 3F*     </t>
  </si>
  <si>
    <t xml:space="preserve">  56             :    19  3d9.(2D).4p          3F*     </t>
  </si>
  <si>
    <t xml:space="preserve">  76             :     6  3d9.(2D).4p          3D*     </t>
  </si>
  <si>
    <t>3d9.(2D).4p</t>
  </si>
  <si>
    <t>3P*</t>
  </si>
  <si>
    <t>3F*</t>
  </si>
  <si>
    <t xml:space="preserve">  33             :    30  3d8.(3F).4s.4p.(3P)  5F*     </t>
  </si>
  <si>
    <t xml:space="preserve">  81             :    10  3d8.(3F).4s.4p.(3P)  3D*     </t>
  </si>
  <si>
    <t xml:space="preserve">  72             :     8  3d8.(3F).4s.4p.(3P)  3F*     </t>
  </si>
  <si>
    <t>3D*</t>
  </si>
  <si>
    <t xml:space="preserve">  57             :    18  3d8.(3F).4s.4p.(3P)  3D*     </t>
  </si>
  <si>
    <t xml:space="preserve">  36             :    18  3d9.(2D).4p          1D*     </t>
  </si>
  <si>
    <t xml:space="preserve">  64             :    28  3d8.(3F).4s.4p.(3P)  3D*     </t>
  </si>
  <si>
    <t>*</t>
  </si>
  <si>
    <t xml:space="preserve">  30  3D*        :    30  3d8.(3F).4s.4p.(3P*) 5F*     </t>
  </si>
  <si>
    <t>3G*</t>
  </si>
  <si>
    <t xml:space="preserve">  94             :     5  3d8.(3F).4s.4p.(3P*) 5G*     </t>
  </si>
  <si>
    <t xml:space="preserve">  78             :    14  3d8.(3F).4s.4p.(3P*) 1G*     </t>
  </si>
  <si>
    <t>1F*</t>
  </si>
  <si>
    <t xml:space="preserve">  56             :    31  3d9.(2D).4p          3F*     </t>
  </si>
  <si>
    <t>1D*</t>
  </si>
  <si>
    <t xml:space="preserve">  67             :    14  3d9.(2D).4p          3D*     </t>
  </si>
  <si>
    <t xml:space="preserve">  77             :    10  3d8.(3F).4s.4p.(3P*) 1G*     </t>
  </si>
  <si>
    <t xml:space="preserve">  37             :    31  3d8.(3F).4s.4p.(3P*) 3D*     </t>
  </si>
  <si>
    <t xml:space="preserve">  53             :    29  3d8.(3F).4s.4p.(3P*) 3D*     </t>
  </si>
  <si>
    <t>1P*</t>
  </si>
  <si>
    <t xml:space="preserve">  38             :    35  3d8.(3F).4s.4p.(3P*) 3F*     </t>
  </si>
  <si>
    <t xml:space="preserve">  34             :    32  3d8.(3F).4s.4p.(3P*) 3F*     </t>
  </si>
  <si>
    <t xml:space="preserve">  66             :    27  3d9.(2D).4p          3D*     </t>
  </si>
  <si>
    <t>1G*</t>
  </si>
  <si>
    <t xml:space="preserve">  75             :    13  3d8.(3F).4s.4p.(3P*) 3G*     </t>
  </si>
  <si>
    <t xml:space="preserve">  83             :     9  3d8.(3F).4s.4p.(3P*) 3F*     </t>
  </si>
  <si>
    <t xml:space="preserve">  82             :     9  3d9.(2D).4p          1D*     </t>
  </si>
  <si>
    <t>3d8.(3P).4s.4p.(3P*)</t>
  </si>
  <si>
    <t>5P*</t>
  </si>
  <si>
    <t xml:space="preserve">  87             :    10  3d8.(1D).4s.4p.(3P*) 3D*     </t>
  </si>
  <si>
    <t>3d8.(1D).4s.4p.(3P*)</t>
  </si>
  <si>
    <t xml:space="preserve">  53             :    40  3d8.(3P).4s.4p.(3P*) 5D*     </t>
  </si>
  <si>
    <t xml:space="preserve">  61             :    17  3d8.(1D).4s.4p.(3P*) 5D*     </t>
  </si>
  <si>
    <t xml:space="preserve">  71             :    14  3d8.(1D).4s.4p.(3P*) 3D*     </t>
  </si>
  <si>
    <t>3d9.(2D&lt;5/2&gt;).5s</t>
  </si>
  <si>
    <t>2[5/2]</t>
  </si>
  <si>
    <t xml:space="preserve">  39             :    32  3d8.(3F).4s.4p.(1P*) 3D*     </t>
  </si>
  <si>
    <t xml:space="preserve">  58             :    15  3d8.(1D).4s.4p.(3P*) 3F*     </t>
  </si>
  <si>
    <t>3d8.(3F).4s.4p.(1P*)</t>
  </si>
  <si>
    <t xml:space="preserve">  47             :    27  3d8.(3P).4s.4p.(3P*) 5D*     </t>
  </si>
  <si>
    <t xml:space="preserve">  68             :    19  3d8.(3F).4s.4p.(1P*) 3F*     </t>
  </si>
  <si>
    <t xml:space="preserve">  54             :    31  3d8.(3F).4s.4p.(1P*) 3G*     </t>
  </si>
  <si>
    <t xml:space="preserve">  58             :    26  3d8.(3F).4s.4p.(1P*) 3G*     </t>
  </si>
  <si>
    <t xml:space="preserve">  62             :    19  3d8.(3P).4s.4p.(3P*) 3P*     </t>
  </si>
  <si>
    <t xml:space="preserve">  45             :    32  3d8.(3P).4s.4p.(3P*) 5D*     </t>
  </si>
  <si>
    <t xml:space="preserve">  21             :    25  3d8.(3P).4s.4p.(3P*) 5D*     </t>
  </si>
  <si>
    <t xml:space="preserve">  58             :    12  3d8.(1D).4s.4p.(3P*) 3D*     </t>
  </si>
  <si>
    <t xml:space="preserve">  68             :    10  3d8.(3P).4s.4p.(3P*) 3D*     </t>
  </si>
  <si>
    <t xml:space="preserve">  35  3D*        :    34  3d8.(3P).4s.4p.(3P*) 5D*     </t>
  </si>
  <si>
    <t xml:space="preserve">  53             :    31  3d8.(1D).4s.4p.(3P*) 3P*     </t>
  </si>
  <si>
    <t xml:space="preserve">  48             :    12  3d8.(3F).4s.4p.(1P*) 3D*     </t>
  </si>
  <si>
    <t xml:space="preserve">  23             :    29  3d8.(1D).4s.4p.(3P*) 3F*     </t>
  </si>
  <si>
    <t>3d9.(2D&lt;3/2&gt;).5s</t>
  </si>
  <si>
    <t>2[3/2]</t>
  </si>
  <si>
    <t xml:space="preserve">  38  5D*        :    37  3d8.(1D).4s.4p.(3P*) 3F*     </t>
  </si>
  <si>
    <t xml:space="preserve">  57             :    28  3d8.(3P).4s.4p.(3P*) 5S*     </t>
  </si>
  <si>
    <t xml:space="preserve">  58             :    18  3d8.(1D).4s.4p.(3P*) 3P*     </t>
  </si>
  <si>
    <t xml:space="preserve">  66             :    28  3d8.(1D).4s.4p.(3P*) 3P*     </t>
  </si>
  <si>
    <t xml:space="preserve">  45             :    37  3d8.(3P).4s.4p.(3P*) 5S*     </t>
  </si>
  <si>
    <t>5S*</t>
  </si>
  <si>
    <t xml:space="preserve">  31             :    39  3d8.(3P).4s.4p.(3P*) 3D*     </t>
  </si>
  <si>
    <t>3d8.4s.(4F).5s</t>
  </si>
  <si>
    <t>5F</t>
  </si>
  <si>
    <t xml:space="preserve">  80             :    11  3d8.4s.(4F).5s       3F      </t>
  </si>
  <si>
    <t xml:space="preserve">  88             :     8  3d8.4s.(4F).5s       3F      </t>
  </si>
  <si>
    <t>3d9.(2D).5p</t>
  </si>
  <si>
    <t xml:space="preserve">  54             :    42  3d9.(2D).5p          3F*     </t>
  </si>
  <si>
    <t xml:space="preserve">  72             :    14  3d8.(1G).4s.4p.(3P*) 3F*     </t>
  </si>
  <si>
    <t xml:space="preserve">  39             :    35  3d9.(2D).5p          1F*     </t>
  </si>
  <si>
    <t xml:space="preserve">  82             :     7  3d8.(3P).4s.4p.(3P*) 3P*     </t>
  </si>
  <si>
    <t xml:space="preserve">  44             :    25  3d8.(3P).4s.4p.(3P*) 1P*     </t>
  </si>
  <si>
    <t xml:space="preserve">  94             :     5  3d8.(3P).4s.4p.(3P*) 3P*     </t>
  </si>
  <si>
    <t xml:space="preserve">  61             :    23  3d9.(2D).5p          1P*     </t>
  </si>
  <si>
    <t>3d9.(2D&lt;5/2&gt;).4d</t>
  </si>
  <si>
    <t>2[1/2]</t>
  </si>
  <si>
    <t xml:space="preserve">  74             :    22  3d9.(2D&lt;5/2&gt;).4d     2[1/2]  </t>
  </si>
  <si>
    <t xml:space="preserve">  47             :    20  3d8.(3P).4s.4p.(3P*) 1D*     </t>
  </si>
  <si>
    <t>2[9/2]</t>
  </si>
  <si>
    <t xml:space="preserve">  71             :    11  3d9.(2D).5p          1D*     </t>
  </si>
  <si>
    <t>2[7/2]</t>
  </si>
  <si>
    <t xml:space="preserve">  77             :     8  3d9.(2D).5p          1F*     </t>
  </si>
  <si>
    <t xml:space="preserve">  64             :    24  3d9.(2D).5p          1D*     </t>
  </si>
  <si>
    <t xml:space="preserve">  86             :     5  3d9.(2D).5p          1P*     </t>
  </si>
  <si>
    <t>3S*</t>
  </si>
  <si>
    <t xml:space="preserve">                                                       </t>
  </si>
  <si>
    <t>3d8.(1S).4s2</t>
  </si>
  <si>
    <t xml:space="preserve">  47             :    43  3d9.(2D).5p          3P*     </t>
  </si>
  <si>
    <t xml:space="preserve">  85             :    12  3d8.4s.(4F).5s       5F      </t>
  </si>
  <si>
    <t xml:space="preserve">  80             :    10  3d8.4s.(4F).5s       5F      </t>
  </si>
  <si>
    <t xml:space="preserve">  88             :     7  3d8.4s.(2F).5s       3F      </t>
  </si>
  <si>
    <t>3d9.(2D&lt;3/2&gt;).4d</t>
  </si>
  <si>
    <t xml:space="preserve">  67             :    19  3d9.(2D&lt;5/2&gt;).4d     2[1/2]  </t>
  </si>
  <si>
    <t>3d8.(1G).4s.4p.(3P*)</t>
  </si>
  <si>
    <t xml:space="preserve">  89             :     5  3d9.(2D).5p          3F*     </t>
  </si>
  <si>
    <t xml:space="preserve">  81             :    11  3d9.(2D).5p          3F*     </t>
  </si>
  <si>
    <t xml:space="preserve">  78             :    15  3d9.(2D).5p          3F*     </t>
  </si>
  <si>
    <t>3d9.(2D&lt;5/2&gt;).6s</t>
  </si>
  <si>
    <t>3d9.(2D&lt;3/2&gt;).6s</t>
  </si>
  <si>
    <t>3d8.4s.(2F).5s</t>
  </si>
  <si>
    <t xml:space="preserve">  69             :    26  3d8.4s.(2F).5s       1F      </t>
  </si>
  <si>
    <t xml:space="preserve">  84             :     7  3d8.4s.(4F).5s       3F      </t>
  </si>
  <si>
    <t>1F</t>
  </si>
  <si>
    <t xml:space="preserve">  64             :    20  3d8.4s.(2F).5s       3F      </t>
  </si>
  <si>
    <t>3d9.(2D&lt;5/2&gt;).6p</t>
  </si>
  <si>
    <t>2[3/2]*</t>
  </si>
  <si>
    <t>2[7/2]*</t>
  </si>
  <si>
    <t>2[5/2]*</t>
  </si>
  <si>
    <t>3d9.(2D&lt;5/2&gt;).5d</t>
  </si>
  <si>
    <t xml:space="preserve">  77             :    19  3d9.(2D&lt;3/2&gt;).5d     2[1/2]  </t>
  </si>
  <si>
    <t>3d9.(2D&lt;5/2&gt;).4f</t>
  </si>
  <si>
    <t>2[1/2]*</t>
  </si>
  <si>
    <t>2[11/2]*</t>
  </si>
  <si>
    <t xml:space="preserve">  74             :    26  3d9.(2D&lt;5/2&gt;).4f     2[9/2]* </t>
  </si>
  <si>
    <t>2[9/2]*</t>
  </si>
  <si>
    <t xml:space="preserve">  74             :    26  3d9.(2D&lt;5/2&gt;).4f     2[7/2]* </t>
  </si>
  <si>
    <t>3d8.(3F).4s.(4F).5p</t>
  </si>
  <si>
    <t xml:space="preserve">  89             :    10  3d8.(3F).4s.(4F).5p  5F*     </t>
  </si>
  <si>
    <t xml:space="preserve">  69             :    16  3d8.(3F).4s.(4F).5p  5F*     </t>
  </si>
  <si>
    <t xml:space="preserve">  66             :    21  3d8.(3F).4s.(4F).5p  5F*     </t>
  </si>
  <si>
    <t xml:space="preserve">  75             :    21  3d8.(3F).4s.(4F).5p  5F*     </t>
  </si>
  <si>
    <t xml:space="preserve">  70             :    13  3d8.(3F)4s.(4F).5p   5F*     </t>
  </si>
  <si>
    <t xml:space="preserve">  64             :    21  3d8.(3F)4s.(4F).5p   5F*     </t>
  </si>
  <si>
    <t xml:space="preserve">  64             :    27  3d8.(3F)4s.(4F).5p   5F*     </t>
  </si>
  <si>
    <t xml:space="preserve">  67             :    28  3d8.(3F)4s.(4F).5p   5F*     </t>
  </si>
  <si>
    <t xml:space="preserve">  85             :    14  3d8.(3F).4s.(4F).5p  5G*     </t>
  </si>
  <si>
    <t xml:space="preserve">  58             :    22  3d8.(3F).4s.(4F).5p  5G*     </t>
  </si>
  <si>
    <t xml:space="preserve">  46             :    26  3d8.(3F).4s.(4F).5p  5G*     </t>
  </si>
  <si>
    <t xml:space="preserve">  44             :    30  3d8.(3F).4s.(4F).5p  5G*     </t>
  </si>
  <si>
    <t xml:space="preserve">  77             :    22  3d8.(3F).4s.(4F).5p  5D*     </t>
  </si>
  <si>
    <t>3d9.(2D&lt;3/2&gt;).6p</t>
  </si>
  <si>
    <t xml:space="preserve">  46             :    33  3d9.(2D&lt;3/2&gt;).6p     2[5/2]* </t>
  </si>
  <si>
    <t>3d9.(2D&lt;5/2&gt;).7s</t>
  </si>
  <si>
    <t xml:space="preserve">  59             :    36  3d9.(2D&lt;3/2&gt;).6p     2[3/2]* </t>
  </si>
  <si>
    <t>3d9.(2D&lt;3/2&gt;).5d</t>
  </si>
  <si>
    <t xml:space="preserve">  65             :    25  3d9.(2D&lt;5/2&gt;).6d     2[1/2]  </t>
  </si>
  <si>
    <t>3d9.(2D&lt;3/2&gt;).4f</t>
  </si>
  <si>
    <t xml:space="preserve">  91             :     6  3d9.(2D&lt;3/2&gt;).4f     2[5/2]* </t>
  </si>
  <si>
    <t>3d8.(1D).4s.4p.(1P*)</t>
  </si>
  <si>
    <t xml:space="preserve">  59             :    11  3d8.(1D).4s.4p.(1P*) 3D*     </t>
  </si>
  <si>
    <t xml:space="preserve">  26             :    22  3d8.(1D).4s.4p.(1P*) 3P*     </t>
  </si>
  <si>
    <t>3d8.4s.(4F&lt;9/2&gt;).4d</t>
  </si>
  <si>
    <t>2[13/2]</t>
  </si>
  <si>
    <t xml:space="preserve">  94             :     6  3d8.4s.(4F&lt;9/2&gt;).4d  2[7/2]  </t>
  </si>
  <si>
    <t xml:space="preserve">  87             :    10  3d8.4s.(4F&lt;9/2&gt;).4d  2[7/2]  </t>
  </si>
  <si>
    <t>2[11/2]</t>
  </si>
  <si>
    <t xml:space="preserve">  90             :    10  3d8.4s.(4F&lt;9/2&gt;).4d  2[9/2]  </t>
  </si>
  <si>
    <t xml:space="preserve">  83             :     6  3d8.4s.(4F&lt;9/2&gt;).4d  2[5/2]  </t>
  </si>
  <si>
    <t>3d9.(2D&lt;5/2&gt;).5f</t>
  </si>
  <si>
    <t xml:space="preserve">  95             :     5  3d9.(2D&lt;5/2&gt;).5f     2[7/2]* </t>
  </si>
  <si>
    <t xml:space="preserve">  95             :     5  3d9.(2D&lt;5/2&gt;).5f     2[9/2]* </t>
  </si>
  <si>
    <t>3d9.(2D&lt;5/2&gt;).5g</t>
  </si>
  <si>
    <t xml:space="preserve">  79             :    13  3d8.(3F).4s.(4F).5p  5G*     </t>
  </si>
  <si>
    <t xml:space="preserve">  55             :    13  3d8.(3F).4s.(4F).5p  3F*     </t>
  </si>
  <si>
    <t>3d9.(2D&lt;3/2&gt;).7s</t>
  </si>
  <si>
    <t xml:space="preserve">  61             :    14  3d8.(3F).4s.(4F).5p  3G*     </t>
  </si>
  <si>
    <t xml:space="preserve">  24             :    21  3d8.(3F).4s.(4F).5p  3D*     </t>
  </si>
  <si>
    <t>3d8.(3P).4s.4p.(1P*)</t>
  </si>
  <si>
    <t xml:space="preserve">  39             :    15  3d8.(1D).4s.4p.(1P*) 1D*     </t>
  </si>
  <si>
    <t>3d8.4s.(4F&lt;7/2&gt;).4d</t>
  </si>
  <si>
    <t xml:space="preserve">  73             :    21  3d8.4s.(4F&lt;7/2&gt;).4d  2[5/2]  </t>
  </si>
  <si>
    <t xml:space="preserve">  88             :     7  3d8.4s.(4F&lt;7/2&gt;).4d  2[7/2]  </t>
  </si>
  <si>
    <t xml:space="preserve">  69             :    20  3d8.4s.(4F&lt;7/2&gt;).4d  2[3/2]  </t>
  </si>
  <si>
    <t xml:space="preserve">  90             :     6  3d8.4s.(4F&lt;7/2&gt;).4d  2[7/2]  </t>
  </si>
  <si>
    <t xml:space="preserve">  90             :     6  3d8.4s.(4F&lt;7/2&gt;).4d  2[9/2]  </t>
  </si>
  <si>
    <t xml:space="preserve">  82             :     8  3d8.4s.(4F&lt;7/2&gt;).4d  2[5/2]  </t>
  </si>
  <si>
    <t>3d8.4s.(4F&lt;5/2&gt;).4d</t>
  </si>
  <si>
    <t xml:space="preserve">  49             :    45  3d8.4s.(4F&lt;5/2&gt;).4d  2[3/2]  </t>
  </si>
  <si>
    <t xml:space="preserve">  87             :     6  3d8.4s.(4F&lt;5/2&gt;).4d  2[7/2]  </t>
  </si>
  <si>
    <t xml:space="preserve">  88             :     7  3d8.4s.(4F&lt;5/2&gt;).4d  2[9/2]  </t>
  </si>
  <si>
    <t xml:space="preserve">  66             :    29  3d8.4s.(4F&lt;5/2&gt;).4d  2[5/2]  </t>
  </si>
  <si>
    <t xml:space="preserve">  67             :    29  3d8.4s.(4F&lt;5/2&gt;).4d  2[7/2]  </t>
  </si>
  <si>
    <t>3d9.(2D&lt;3/2&gt;).5f</t>
  </si>
  <si>
    <t>3d9.(2D&lt;3/2&gt;).5g</t>
  </si>
  <si>
    <t xml:space="preserve">  23             :    40  3d8.4s.7p                    </t>
  </si>
  <si>
    <t xml:space="preserve">  55             :    10  3d8.(1D).4s.4p.(1P*) 1F*     </t>
  </si>
  <si>
    <t xml:space="preserve">  59             :    15  3d8.4s.7p                    </t>
  </si>
  <si>
    <t>3d8.4s.(4F&lt;3/2&gt;).4d</t>
  </si>
  <si>
    <t xml:space="preserve">  72             :    27  3d8.4s.(4F&lt;3/2&gt;).4d  2[3/2]  </t>
  </si>
  <si>
    <t xml:space="preserve">  68             :    31  3d8.4s.(4F&lt;3/2&gt;).4d  2[5/2]  </t>
  </si>
  <si>
    <t xml:space="preserve">  64             :    24  3d8.4s.(4F&lt;3/2&gt;).4d  2[5/2]  </t>
  </si>
  <si>
    <t xml:space="preserve">  53             :    46  3d8.4s.(4F&lt;3/2&gt;).4d  2[1/2]  </t>
  </si>
  <si>
    <t>3d8.(3F).4s.(4F).6s</t>
  </si>
  <si>
    <t>Ni II (3d9 2D&lt;5/2&gt;)</t>
  </si>
  <si>
    <t>L12369</t>
  </si>
  <si>
    <t>3d8.(3F).4s.(4F).5d</t>
  </si>
  <si>
    <t>5H</t>
  </si>
  <si>
    <t>5G</t>
  </si>
  <si>
    <t>5d9.6s</t>
  </si>
  <si>
    <t>L10982</t>
  </si>
  <si>
    <t>5d8.6s2</t>
  </si>
  <si>
    <t>5d10</t>
  </si>
  <si>
    <t>5d8.6s.(4F).6p</t>
  </si>
  <si>
    <t>5d9.6p</t>
  </si>
  <si>
    <t>a 3P*</t>
  </si>
  <si>
    <t>a 5F*</t>
  </si>
  <si>
    <t>a 5D*</t>
  </si>
  <si>
    <t>a 5G*</t>
  </si>
  <si>
    <t>b 3P*</t>
  </si>
  <si>
    <t>b 5F*</t>
  </si>
  <si>
    <t>5d8.6s.(2D).6p</t>
  </si>
  <si>
    <t>a 3F*</t>
  </si>
  <si>
    <t>5d8.6s.(4P).6p</t>
  </si>
  <si>
    <t>a 3D*</t>
  </si>
  <si>
    <t>b 5D*</t>
  </si>
  <si>
    <t>a 5P*</t>
  </si>
  <si>
    <t>b 5G*</t>
  </si>
  <si>
    <t>5d8.6s.(2F).6p</t>
  </si>
  <si>
    <t>b 3D*</t>
  </si>
  <si>
    <t>b 5P*</t>
  </si>
  <si>
    <t>5d7.(4F).6s2.6p</t>
  </si>
  <si>
    <t>a 3G*</t>
  </si>
  <si>
    <t>5d9.7s</t>
  </si>
  <si>
    <t>b 3F*</t>
  </si>
  <si>
    <t>5d8.6s.(2P).6p</t>
  </si>
  <si>
    <t>c 5P*</t>
  </si>
  <si>
    <t>5d8.6s.(2G).6p</t>
  </si>
  <si>
    <t>3H*</t>
  </si>
  <si>
    <t>5d8.(3F&lt;4&gt;).6s.7s.(3S&lt;1&gt;)</t>
  </si>
  <si>
    <t>(4,1)</t>
  </si>
  <si>
    <t xml:space="preserve">                        </t>
  </si>
  <si>
    <t>b 3G*</t>
  </si>
  <si>
    <t>5d9.7p</t>
  </si>
  <si>
    <t>a 1P*</t>
  </si>
  <si>
    <t>a 1D*</t>
  </si>
  <si>
    <t>5d9.6d</t>
  </si>
  <si>
    <t>3S</t>
  </si>
  <si>
    <t>1P</t>
  </si>
  <si>
    <t>3G</t>
  </si>
  <si>
    <t>b 1D*</t>
  </si>
  <si>
    <t>b 1P*</t>
  </si>
  <si>
    <t>5d8.(3F&lt;4&gt;).6s.7s.(1S&lt;0&gt;)</t>
  </si>
  <si>
    <t>(4,0)</t>
  </si>
  <si>
    <t>5d8.(3F&lt;4&gt;).6s.7p.(3P*&lt;0&gt;)</t>
  </si>
  <si>
    <t>(4,0)*</t>
  </si>
  <si>
    <t>5d8.(3F&lt;4&gt;).6s.7p.(3P*&lt;1&gt;)</t>
  </si>
  <si>
    <t>(4,1)*</t>
  </si>
  <si>
    <t>5d9.8s</t>
  </si>
  <si>
    <t>5d8.(3F&lt;4&gt;).6s.7p.(3P*&lt;2&gt;)</t>
  </si>
  <si>
    <t>(4,2)*</t>
  </si>
  <si>
    <t>5 or 4</t>
  </si>
  <si>
    <t>5d8.(3F&lt;4&gt;).6s.6d.(3D&lt;?&gt;)</t>
  </si>
  <si>
    <t>a (4,?)</t>
  </si>
  <si>
    <t>5d8.(3F&lt;4&gt;).6s.6d.(3D&lt;3&gt;)</t>
  </si>
  <si>
    <t>(4,3)</t>
  </si>
  <si>
    <t>5d8.(3F&lt;4&gt;).6s.6d</t>
  </si>
  <si>
    <t>b (4,?)</t>
  </si>
  <si>
    <t>5d8.(3F&lt;3&gt;).6s.7s.(3S&lt;1&gt;)</t>
  </si>
  <si>
    <t>(3,1)</t>
  </si>
  <si>
    <t>c 5G*</t>
  </si>
  <si>
    <t>5d7.(4P).6s2.6p</t>
  </si>
  <si>
    <t>5d9.7d</t>
  </si>
  <si>
    <t>5d9.5f</t>
  </si>
  <si>
    <t>a*</t>
  </si>
  <si>
    <t>b*</t>
  </si>
  <si>
    <t>c*</t>
  </si>
  <si>
    <t>d*</t>
  </si>
  <si>
    <t>e*</t>
  </si>
  <si>
    <t>f*</t>
  </si>
  <si>
    <t>g*</t>
  </si>
  <si>
    <t>h*</t>
  </si>
  <si>
    <t>i*</t>
  </si>
  <si>
    <t>j*</t>
  </si>
  <si>
    <t>l*</t>
  </si>
  <si>
    <t>m*</t>
  </si>
  <si>
    <t>2 or 1</t>
  </si>
  <si>
    <t>n*</t>
  </si>
  <si>
    <t>o*</t>
  </si>
  <si>
    <t>p*</t>
  </si>
  <si>
    <t>q*</t>
  </si>
  <si>
    <t>(3/2,1/2)*</t>
  </si>
  <si>
    <t>5d8.(3F&lt;4&gt;).6s.8s.(3S&lt;1&gt;)</t>
  </si>
  <si>
    <t>(3/2,3/2)*</t>
  </si>
  <si>
    <t>5d8.6s.7p</t>
  </si>
  <si>
    <t>r*</t>
  </si>
  <si>
    <t>3 or 4</t>
  </si>
  <si>
    <t>s*</t>
  </si>
  <si>
    <t>t*</t>
  </si>
  <si>
    <t>u*</t>
  </si>
  <si>
    <t>v*</t>
  </si>
  <si>
    <t>w*</t>
  </si>
  <si>
    <t>x</t>
  </si>
  <si>
    <t>5d8.(3F&lt;4&gt;).6s.6d.(1D&lt;2&gt;)</t>
  </si>
  <si>
    <t>(4,2)</t>
  </si>
  <si>
    <t>y</t>
  </si>
  <si>
    <t>z</t>
  </si>
  <si>
    <t>5d8.(3F&lt;4&gt;).6s.5f</t>
  </si>
  <si>
    <t>5 or 6</t>
  </si>
  <si>
    <t>Pt II (5d9 2D&lt;5/2&gt;)</t>
  </si>
  <si>
    <t>L9735,L11689</t>
  </si>
  <si>
    <t>3d.4s2</t>
  </si>
  <si>
    <t>L7185</t>
  </si>
  <si>
    <t>3d2.(3F).4s</t>
  </si>
  <si>
    <t>4F</t>
  </si>
  <si>
    <t>2F</t>
  </si>
  <si>
    <t>3d.4s.(3D).4p</t>
  </si>
  <si>
    <t xml:space="preserve">  79             :     9  3d.4s.(1D).4p 2D*  </t>
  </si>
  <si>
    <t>3d.4s.(1D).4p</t>
  </si>
  <si>
    <t xml:space="preserve">  43             :    34  3d.4s.(3D).4p 2D*  </t>
  </si>
  <si>
    <t xml:space="preserve">  50             :    39  3d.4s.(3D).4p 2D*  </t>
  </si>
  <si>
    <t>3d2.(1D).4s</t>
  </si>
  <si>
    <t xml:space="preserve">  94             :     4  3d2.(3P).4s   4P   </t>
  </si>
  <si>
    <t>3d2.(3P).4s</t>
  </si>
  <si>
    <t>4P</t>
  </si>
  <si>
    <t xml:space="preserve">  96             :     4  3d2.(1D).4s   2D   </t>
  </si>
  <si>
    <t xml:space="preserve">  83             :     7  4s2.4p        2P*  </t>
  </si>
  <si>
    <t xml:space="preserve">  88             :     4  4s2.4p        2P*  </t>
  </si>
  <si>
    <t>4s2.4p</t>
  </si>
  <si>
    <t xml:space="preserve">  37             :    31  3d.4s.(3D).4p 2P*  </t>
  </si>
  <si>
    <t xml:space="preserve">  37             :    33  3d.4s.(3D).4p 2P*  </t>
  </si>
  <si>
    <t>3d2.(1G).4s</t>
  </si>
  <si>
    <t>2G</t>
  </si>
  <si>
    <t>2P</t>
  </si>
  <si>
    <t xml:space="preserve">  79             :    14  3d.4s.(3D).4p 2F*  </t>
  </si>
  <si>
    <t xml:space="preserve">  77             :    16  3d.4s.(3D).4p 2F*  </t>
  </si>
  <si>
    <t xml:space="preserve">  74             :    17  4s2.4p        2P*  </t>
  </si>
  <si>
    <t xml:space="preserve">  68             :    17  4s2.4p        2P*  </t>
  </si>
  <si>
    <t xml:space="preserve">  38             :    30  3d2.(3F).4p   2D*  </t>
  </si>
  <si>
    <t xml:space="preserve">  40             :    32  3d2.(3F).4p   2D*  </t>
  </si>
  <si>
    <t xml:space="preserve">  64             :    21  3d2.(3F).4p   2F*  </t>
  </si>
  <si>
    <t xml:space="preserve">  62             :    22  3d2.(3F).4p   2F*  </t>
  </si>
  <si>
    <t>3d2.(1S).4s</t>
  </si>
  <si>
    <t>3d2.(3F).4p</t>
  </si>
  <si>
    <t>4G*</t>
  </si>
  <si>
    <t xml:space="preserve">  44             :    31  4s2.4p        2P*  </t>
  </si>
  <si>
    <t xml:space="preserve">  43             :    32  4s2.4p        2P*  </t>
  </si>
  <si>
    <t>2G*</t>
  </si>
  <si>
    <t xml:space="preserve">  60             :    20  3d2.(3F).4p   2F*  </t>
  </si>
  <si>
    <t xml:space="preserve">  90             :    10  3d2.(1G).4p   2G*  </t>
  </si>
  <si>
    <t xml:space="preserve">  62             :    13  3d.4s.(1D).4p 2F*  </t>
  </si>
  <si>
    <t xml:space="preserve">  42             :    30  3d2.(3F).4p   2G*  </t>
  </si>
  <si>
    <t xml:space="preserve">  40             :    30  3d2.(3P).4p   2D*  </t>
  </si>
  <si>
    <t xml:space="preserve">  39             :    30  3d2.(3P).4p   2D*  </t>
  </si>
  <si>
    <t>3d3</t>
  </si>
  <si>
    <t>3d.4s.(3D).5s</t>
  </si>
  <si>
    <t>3d2.(3P).4p</t>
  </si>
  <si>
    <t>2S*</t>
  </si>
  <si>
    <t xml:space="preserve">  83             :     8  3d3           2D1  </t>
  </si>
  <si>
    <t xml:space="preserve">  82             :    12  3d.4s.(1D).5s 2D   </t>
  </si>
  <si>
    <t>2D2</t>
  </si>
  <si>
    <t xml:space="preserve">  40             :    34  3d3           2D1  </t>
  </si>
  <si>
    <t xml:space="preserve">  42             :    35  3d3           2D1  </t>
  </si>
  <si>
    <t>3d2.(1D).4p</t>
  </si>
  <si>
    <t xml:space="preserve">  84             :    11  3d2.(3F).4p   2F*  </t>
  </si>
  <si>
    <t xml:space="preserve">  82             :    10  3d2.(3F).4p   2F*  </t>
  </si>
  <si>
    <t xml:space="preserve">  94             :     4  3d2.(1D).4p   2F*  </t>
  </si>
  <si>
    <t xml:space="preserve">  58             :    14  3d.4s.(3D).5p 2D*  </t>
  </si>
  <si>
    <t xml:space="preserve">  59             :    14  3d.4s.(3D).5p 2D*  </t>
  </si>
  <si>
    <t xml:space="preserve">  68             :    17  3d2.(3P).4p   2P*  </t>
  </si>
  <si>
    <t xml:space="preserve">  70             :    17  3d2.(3P).4p   2P*  </t>
  </si>
  <si>
    <t>4S*</t>
  </si>
  <si>
    <t xml:space="preserve">  91             :     9  3d2.(3P).4p   4P*  </t>
  </si>
  <si>
    <t>3d.4s.(1D).5s</t>
  </si>
  <si>
    <t xml:space="preserve">  66             :    14  3d.4s.(3D).5s 2D   </t>
  </si>
  <si>
    <t xml:space="preserve">  63             :    17  3d.4s.(3D).5s 2D   </t>
  </si>
  <si>
    <t xml:space="preserve">  93             :     5  3d.4s.(3D).5p 4P*  </t>
  </si>
  <si>
    <t xml:space="preserve">  85             :     9  3d2.(3P).4p   4S*  </t>
  </si>
  <si>
    <t>3d.4s.(3D).4d</t>
  </si>
  <si>
    <t xml:space="preserve">  49             :    36  3d.4s.(3D).4d 4G   </t>
  </si>
  <si>
    <t xml:space="preserve">  46             :    37  3d.4s.(3D).4d 4D   </t>
  </si>
  <si>
    <t>3d2.(1G).4p</t>
  </si>
  <si>
    <t>2H*</t>
  </si>
  <si>
    <t>2H</t>
  </si>
  <si>
    <t xml:space="preserve">  90             :    10  3d2.(3F).4p   2G*  </t>
  </si>
  <si>
    <t xml:space="preserve">  88             :    10  3d2.(3F).4p   2G*  </t>
  </si>
  <si>
    <t xml:space="preserve">  71             :    26  3d.4s.(3D).4d 4G   </t>
  </si>
  <si>
    <t xml:space="preserve">  41             :    47  3d.4s.(3D).4d 2F   </t>
  </si>
  <si>
    <t xml:space="preserve">  45  2F         :    36  3d.4s.(3D).4d 4G   </t>
  </si>
  <si>
    <t>4G</t>
  </si>
  <si>
    <t xml:space="preserve">  78             :    20  3d.4s.(3D).4d 4D   </t>
  </si>
  <si>
    <t>3d.4s.(3D).5p</t>
  </si>
  <si>
    <t xml:space="preserve">  93             :     6  3d.4s.(3D).5p 4D*  </t>
  </si>
  <si>
    <t xml:space="preserve">  91             :     7  3d.4s.(3D).5p 4D*  </t>
  </si>
  <si>
    <t xml:space="preserve">  89             :     6  3d.4s.(3D).5p 4F*  </t>
  </si>
  <si>
    <t xml:space="preserve">  88             :     8  3d.4s.(3D).5p 4F*  </t>
  </si>
  <si>
    <t xml:space="preserve">  76             :    10  3d.4s.(3D).4d 2D   </t>
  </si>
  <si>
    <t xml:space="preserve">  76             :    15  3d2.(1G).4p   2F*  </t>
  </si>
  <si>
    <t xml:space="preserve">  75             :    16  3d2.(1G).4p   2F*  </t>
  </si>
  <si>
    <t>3/2 or 5/2</t>
  </si>
  <si>
    <t xml:space="preserve">                                             </t>
  </si>
  <si>
    <t xml:space="preserve">  47             :    22  3d.4s.(3D).4d 4S   </t>
  </si>
  <si>
    <t xml:space="preserve">  66             :    17  3d.4s.(1D).4d 2D   </t>
  </si>
  <si>
    <t>4S</t>
  </si>
  <si>
    <t xml:space="preserve">  72             :    13  3d.4s.(3D).4d 2P   </t>
  </si>
  <si>
    <t xml:space="preserve">  68             :    16  3d2.(1D).4p   2D*  </t>
  </si>
  <si>
    <t xml:space="preserve">  67             :    15  3d2.(1D).4p   2D*  </t>
  </si>
  <si>
    <t xml:space="preserve">  69             :    27  3d.4s.(1D).4d 2G   </t>
  </si>
  <si>
    <t xml:space="preserve">  77             :    11  3d2.(3P).4p   2P*  </t>
  </si>
  <si>
    <t xml:space="preserve">  72             :    10  3d2.(3P).4p   2P*  </t>
  </si>
  <si>
    <t xml:space="preserve">  94             :     5  3d2.(3P).4p   4P*  </t>
  </si>
  <si>
    <t xml:space="preserve">  88             :     5  3d.4s.(3D).5p 2P*  </t>
  </si>
  <si>
    <t xml:space="preserve">  77             :    22  3d2.(3F).5s   2F   </t>
  </si>
  <si>
    <t xml:space="preserve">  80             :    20  3d2.(3F).5s   2F   </t>
  </si>
  <si>
    <t xml:space="preserve">  46             :    30  3d.4s.(1D).5p 2D*  </t>
  </si>
  <si>
    <t xml:space="preserve">  45             :    30  3d.4s.(1D).5p 2D*  </t>
  </si>
  <si>
    <t xml:space="preserve">  88             :     5  3d.4s.(3D).4d 2S   </t>
  </si>
  <si>
    <t>3d2.(3F).5s</t>
  </si>
  <si>
    <t>3d.4s.(1D).4d</t>
  </si>
  <si>
    <t xml:space="preserve">  87             :     8  3d2.(1D).4d   2F   </t>
  </si>
  <si>
    <t xml:space="preserve">  86             :     8  3d2.(1D).4d   2F   </t>
  </si>
  <si>
    <t xml:space="preserve">  68             :    22  3d.4s.(3D).4d 2D   </t>
  </si>
  <si>
    <t xml:space="preserve">  69             :    23  3d.4s.(3D).4d 2D   </t>
  </si>
  <si>
    <t>3d.4s.(1D).5p</t>
  </si>
  <si>
    <t xml:space="preserve">  69             :    10  3d.4s.(3D).5p 2P*  </t>
  </si>
  <si>
    <t xml:space="preserve">  67             :    11  3d.4s.(3D).5p 2P*  </t>
  </si>
  <si>
    <t xml:space="preserve">  45             :    41  3d.4s.(1D).4d 2S   </t>
  </si>
  <si>
    <t>2D1</t>
  </si>
  <si>
    <t xml:space="preserve">  44             :    35  3d3           2D2  </t>
  </si>
  <si>
    <t xml:space="preserve">  54             :    45  3d3           2D2  </t>
  </si>
  <si>
    <t xml:space="preserve">  82             :    12  3d2.(1D).5p   2F*  </t>
  </si>
  <si>
    <t xml:space="preserve">  83             :    12  3d2.(1D).5p   2F*  </t>
  </si>
  <si>
    <t xml:space="preserve">  63             :    30  3d.4s.(3D).4d 2G   </t>
  </si>
  <si>
    <t xml:space="preserve">  52             :    18  3d2.(3P).4p   2P*  </t>
  </si>
  <si>
    <t xml:space="preserve">  51             :    18  3d2.(3P).4p   2D*  </t>
  </si>
  <si>
    <t xml:space="preserve">  87             :     7  3d2.(1D).4d   2P   </t>
  </si>
  <si>
    <t xml:space="preserve">  86             :     7  3d2.(1D).4d   2P   </t>
  </si>
  <si>
    <t>4s2.4d</t>
  </si>
  <si>
    <t xml:space="preserve">  85             :    11  3d.4s.(3D).4d 2D   </t>
  </si>
  <si>
    <t xml:space="preserve">  86             :    11  3d.4s.(3D).4d 2D   </t>
  </si>
  <si>
    <t>3d.4s.(3D).6s</t>
  </si>
  <si>
    <t xml:space="preserve">  72             :    16  3d.4s.(3D).5p 2F*  </t>
  </si>
  <si>
    <t xml:space="preserve">  71             :    17  3d.4s.(3D).5p 2F*  </t>
  </si>
  <si>
    <t>3d.(2D).4p2.(3P)</t>
  </si>
  <si>
    <t xml:space="preserve">  52             :    16  3d.4s.(1D).5p 2P*  </t>
  </si>
  <si>
    <t xml:space="preserve">  52             :    15  3d.4s.(1D).5p 2P*  </t>
  </si>
  <si>
    <t xml:space="preserve">  49             :    49  3d.4s.(3D).4d 2S   </t>
  </si>
  <si>
    <t>3d2.(3F).5p</t>
  </si>
  <si>
    <t>3d2.(3F).4d</t>
  </si>
  <si>
    <t xml:space="preserve">  88             :    10  3d2.(3F).4d   2F   </t>
  </si>
  <si>
    <t xml:space="preserve">  80             :    18  3d2.(3F).4d   4H   </t>
  </si>
  <si>
    <t xml:space="preserve">  79             :    20  3d2.(3F).4d   4H   </t>
  </si>
  <si>
    <t xml:space="preserve">  82             :    17  3d2.(3F).4d   4H   </t>
  </si>
  <si>
    <t>3d.4s.(3D).5d</t>
  </si>
  <si>
    <t>4H</t>
  </si>
  <si>
    <t xml:space="preserve">  82             :    17  3d2.(3F).4d   4G   </t>
  </si>
  <si>
    <t xml:space="preserve">  80             :    20  3d2.(3F).4d   4G   </t>
  </si>
  <si>
    <t xml:space="preserve">  83             :    16  3d2.(3F).4d   4G   </t>
  </si>
  <si>
    <t>13/2</t>
  </si>
  <si>
    <t xml:space="preserve">  91             :     7  3d2.(3F).4d   2F   </t>
  </si>
  <si>
    <t xml:space="preserve">  84             :     7  3d.4s.(1D).5p 2D*  </t>
  </si>
  <si>
    <t>3d.4s.(3D).7s</t>
  </si>
  <si>
    <t>3d.4s.(1D).7p</t>
  </si>
  <si>
    <t>Sc II (3d.4s 3D&lt;1&gt;)</t>
  </si>
  <si>
    <t>L7185,L2110</t>
  </si>
  <si>
    <t>3d.4s.(1D).9p</t>
  </si>
  <si>
    <t>3d2.(3F&lt;3&gt;).7p</t>
  </si>
  <si>
    <t>3d.4s.(1D).10p</t>
  </si>
  <si>
    <t>3d.4s.(1D).11p</t>
  </si>
  <si>
    <t>3d.4s.(1D).12p</t>
  </si>
  <si>
    <t>3d.4s.(1D).13p</t>
  </si>
  <si>
    <t>3d.4s.(1D).14p</t>
  </si>
  <si>
    <t>3d.4s.(1D).15p</t>
  </si>
  <si>
    <t>3d.4s.(1D).16p</t>
  </si>
  <si>
    <t>3d2.(3F&lt;3&gt;).8p</t>
  </si>
  <si>
    <t>3d.4s.(1D).17p</t>
  </si>
  <si>
    <t>3d.4s.(1D).18p</t>
  </si>
  <si>
    <t>3d.4s.(1D).19p</t>
  </si>
  <si>
    <t>3d.4s.(1D).20p</t>
  </si>
  <si>
    <t>3d.4s.(1D).21p</t>
  </si>
  <si>
    <t>3d.4s.(1D).22p</t>
  </si>
  <si>
    <t>3d.4s.(1D).23p</t>
  </si>
  <si>
    <t>3d.4s.(1D).24p</t>
  </si>
  <si>
    <t>3d.4s.(1D).25p</t>
  </si>
  <si>
    <t>3d.4s.(1D).26p</t>
  </si>
  <si>
    <t>3d.4s.(1D).27p</t>
  </si>
  <si>
    <t>3d.4s.(1D).28p</t>
  </si>
  <si>
    <t>3d.4s.(1D).29p</t>
  </si>
  <si>
    <t>3d.4s.(1D).30p</t>
  </si>
  <si>
    <t>3d.4s.(1D).31p</t>
  </si>
  <si>
    <t>3d.4s.(1D).32p</t>
  </si>
  <si>
    <t>3d.4s.(1D).33p</t>
  </si>
  <si>
    <t>3d.4s.(1D).34p</t>
  </si>
  <si>
    <t>3d.4s.(1D).35p</t>
  </si>
  <si>
    <t>3d.4s.(1D).36p</t>
  </si>
  <si>
    <t>3d.4s.(1D).37p</t>
  </si>
  <si>
    <t>3d.4s.(1D).38p</t>
  </si>
  <si>
    <t>Sc II (3d.4s 1D&lt;2&gt;)</t>
  </si>
  <si>
    <t>3d2.(3F).9p</t>
  </si>
  <si>
    <t>2F*?</t>
  </si>
  <si>
    <t>3d2.(3F).10p</t>
  </si>
  <si>
    <t>3d2.(3F).11p</t>
  </si>
  <si>
    <t>3d2.(3F).12p</t>
  </si>
  <si>
    <t>3d2.(3F).13p</t>
  </si>
  <si>
    <t>3d2.(3F).14p</t>
  </si>
  <si>
    <t>3d2.(3F).15p</t>
  </si>
  <si>
    <t>4s2.4f</t>
  </si>
  <si>
    <t>Sc II (3d2 3F&lt;3&gt;)</t>
  </si>
  <si>
    <t>4s2.5f</t>
  </si>
  <si>
    <t>4s2.6f</t>
  </si>
  <si>
    <t>4s2.7f</t>
  </si>
  <si>
    <t>4s2.8f</t>
  </si>
  <si>
    <t>4s2.9f</t>
  </si>
  <si>
    <t>4s2.10f</t>
  </si>
  <si>
    <t>4s2.11f</t>
  </si>
  <si>
    <t>4s2.12f</t>
  </si>
  <si>
    <t>4s2.13f</t>
  </si>
  <si>
    <t>4s2.14f</t>
  </si>
  <si>
    <t>4s2.15f</t>
  </si>
  <si>
    <t>4s2.17f</t>
  </si>
  <si>
    <t>4s2.18f</t>
  </si>
  <si>
    <t>4s2.19f</t>
  </si>
  <si>
    <t>4s2.20f</t>
  </si>
  <si>
    <t>4s2.21f</t>
  </si>
  <si>
    <t>4s2.22f</t>
  </si>
  <si>
    <t>4s2.23f</t>
  </si>
  <si>
    <t>Sc II (4s2 1S&lt;0&gt;)</t>
  </si>
  <si>
    <t>3d2.4s2</t>
  </si>
  <si>
    <t>L17885</t>
  </si>
  <si>
    <t>3d3.(4F).4s</t>
  </si>
  <si>
    <t xml:space="preserve">  92         :     7  3d3.(2P).4s          3P   </t>
  </si>
  <si>
    <t xml:space="preserve">  90         :     7  3d3.(2P).4s          3P   </t>
  </si>
  <si>
    <t xml:space="preserve">  90         :     8  3d3.(2G).4s          1G   </t>
  </si>
  <si>
    <t>3d3.(4P).4s</t>
  </si>
  <si>
    <t>3d3.(2G).4s</t>
  </si>
  <si>
    <t>3d2.(3F).4s.4p.(3P*)</t>
  </si>
  <si>
    <t>3d3.(2D2).4s</t>
  </si>
  <si>
    <t xml:space="preserve">  67         :    30  3d3.(2D1).4s         3D   </t>
  </si>
  <si>
    <t>3d3.(2P).4s</t>
  </si>
  <si>
    <t xml:space="preserve">  86         :     7  3d2.4s2              3P   </t>
  </si>
  <si>
    <t xml:space="preserve">  87         :     7  3d2.4s2              3P   </t>
  </si>
  <si>
    <t>3d3.(2H).4s</t>
  </si>
  <si>
    <t xml:space="preserve">  52         :    44  3d3.(2G).4s          1G   </t>
  </si>
  <si>
    <t xml:space="preserve">  48         :    48  3d3.(2H).4s          3H   </t>
  </si>
  <si>
    <t xml:space="preserve">  94         :     5  3d3.(2P).4s          3P   </t>
  </si>
  <si>
    <t xml:space="preserve">  87         :    10  3d2.(3P).4s.4p.(3P*) 3D*  </t>
  </si>
  <si>
    <t xml:space="preserve">  88         :     9  3d2.(3P).4s.4p.(3P*) 3D*  </t>
  </si>
  <si>
    <t xml:space="preserve">  85         :     7  3d2.(3P).4s.4p.(3P*) 3D*  </t>
  </si>
  <si>
    <t xml:space="preserve">  86         :     8  3d2.(3P).4s.4p.(3P*) 3D*  </t>
  </si>
  <si>
    <t xml:space="preserve">  67         :    30  3d3.(2D1).4s         1D   </t>
  </si>
  <si>
    <t xml:space="preserve">  88         :     9  3d2.(3P).4s.4p.(3P*) 1D*  </t>
  </si>
  <si>
    <t>3d2.(3P).4s.4p.(3P*)</t>
  </si>
  <si>
    <t xml:space="preserve">  91         :     7  3d3.(2P).4p          3S*  </t>
  </si>
  <si>
    <t>3d3.(2F).4s</t>
  </si>
  <si>
    <t xml:space="preserve">                                                </t>
  </si>
  <si>
    <t>3d2.(3F).4s.4p.(1P*)</t>
  </si>
  <si>
    <t xml:space="preserve">  48         :    24  3d3.(4F).4p          3F*  </t>
  </si>
  <si>
    <t xml:space="preserve">  46         :    22  3d3.(4F).4p          3F*  </t>
  </si>
  <si>
    <t xml:space="preserve">  42         :    25  3d2.(1D).4s.4p.(3P*) 3F*  </t>
  </si>
  <si>
    <t>3d3.(4F).4p</t>
  </si>
  <si>
    <t xml:space="preserve">  51         :    36  3d2.(3F).4s.4p.(1P*) 3D*  </t>
  </si>
  <si>
    <t xml:space="preserve">  37         :    32  3d2.(1D).4s.4p.(3P*) 3D*  </t>
  </si>
  <si>
    <t xml:space="preserve">  36         :    34  3d2.(1D).4s.4p.(3P*) 3D*  </t>
  </si>
  <si>
    <t>3d2.(1D).4s.4p.(3P*)</t>
  </si>
  <si>
    <t xml:space="preserve">  52         :    25  3d2.(3P).4s.4p.(3P*) 5D*  </t>
  </si>
  <si>
    <t xml:space="preserve">  63         :    28  3d2.(3P).4s.4p.(3P*) 5D*  </t>
  </si>
  <si>
    <t xml:space="preserve">  51         :    34  3d2.(3P).4s.4p.(3P*) 5D*  </t>
  </si>
  <si>
    <t xml:space="preserve">  61         :    30  3d2.(1D).4s.4p.(3P*) 3P*  </t>
  </si>
  <si>
    <t xml:space="preserve">  65         :    23  3d2.(1D).4s.4p.(3P*) 3P*  </t>
  </si>
  <si>
    <t xml:space="preserve">  72         :    18  3d2.(1D).4s.4p.(3P*) 3P*  </t>
  </si>
  <si>
    <t xml:space="preserve">  75         :    10  3d3.(4F).4p          3D*  </t>
  </si>
  <si>
    <t xml:space="preserve">  86         :     7  3d3.(4F).4p          5D*  </t>
  </si>
  <si>
    <t>y 5G*</t>
  </si>
  <si>
    <t xml:space="preserve">  57         :    21  3d2.(3F).4s.4p.(1P*) 3F*  </t>
  </si>
  <si>
    <t xml:space="preserve">  60         :    22  3d2.(3F).4s.4p.(1P*) 3F*  </t>
  </si>
  <si>
    <t xml:space="preserve">  59         :    20  3d2.(3F).4s.4p.(1P*) 3F*  </t>
  </si>
  <si>
    <t xml:space="preserve">  79         :    12  3d2.(3P).4s.4p.(3P*) 3D*  </t>
  </si>
  <si>
    <t xml:space="preserve">  75         :    11  3d2.(3P).4s.4p.(3P*) 3D*  </t>
  </si>
  <si>
    <t xml:space="preserve">  72         :    13  3d2.(3P).4s.4p.(3P*) 3D*  </t>
  </si>
  <si>
    <t xml:space="preserve">  50         :    23  3d3.(4F).4p          3G*  </t>
  </si>
  <si>
    <t xml:space="preserve">  49         :    24  3d3.(4F).4p          3G*  </t>
  </si>
  <si>
    <t xml:space="preserve">  83         :    12  3d2.(1D).4s.4p.(3P*) 3D*  </t>
  </si>
  <si>
    <t>3d2.(1D).4s.4p.(1P*)</t>
  </si>
  <si>
    <t xml:space="preserve">  39         :    24  3d.4s2.4p            1D*  </t>
  </si>
  <si>
    <t>3d4</t>
  </si>
  <si>
    <t xml:space="preserve">  39         :    22  3d3.(4F).4p          3D*  </t>
  </si>
  <si>
    <t xml:space="preserve">  41         :    24  3d3.(4F).4p          3D*  </t>
  </si>
  <si>
    <t xml:space="preserve">  42         :    26  3d3.(4F).4p          3D*  </t>
  </si>
  <si>
    <t xml:space="preserve">  87         :     8  3d2.(3P).4s.4p.(3P*) 5D*  </t>
  </si>
  <si>
    <t xml:space="preserve">  86         :     9  3d2.(3P).4s.4p.(3P*) 5D*  </t>
  </si>
  <si>
    <t xml:space="preserve">  75         :    10  3d2.(3F).4s.4p.(1P*) 3D*  </t>
  </si>
  <si>
    <t xml:space="preserve">  88         :     7  3d2.(3P).4s.4p.(3P*) 5D*  </t>
  </si>
  <si>
    <t>3d2.(1G).4s.4p.(3P*)</t>
  </si>
  <si>
    <t xml:space="preserve">  76         :    18  3d2.(3F).4s.4p.(1P*) 3G*  </t>
  </si>
  <si>
    <t xml:space="preserve">  74         :    17  3d2.(3F).4s.4p.(1P*) 3G*  </t>
  </si>
  <si>
    <t xml:space="preserve">  75         :    16  3d2.(3F).4s.4p.(1P*) 3G*  </t>
  </si>
  <si>
    <t xml:space="preserve">  79         :    15  3d2.(1D).4s.4p.(3P*) 3D*  </t>
  </si>
  <si>
    <t xml:space="preserve">  77         :    16  3d2.(1D).4s.4p.(3P*) 3D*  </t>
  </si>
  <si>
    <t xml:space="preserve">  77         :    14  3d2.(1D).4s.4p.(3P*) 3D*  </t>
  </si>
  <si>
    <t xml:space="preserve">  72         :    19  3d2.(3F).4s.4p.(1P*) 3G*  </t>
  </si>
  <si>
    <t xml:space="preserve">  71         :    21  3d2.(3F).4s.4p.(1P*) 3G*  </t>
  </si>
  <si>
    <t xml:space="preserve">  73         :    20  3d2.(3F).4s.4p.(1P*) 3G*  </t>
  </si>
  <si>
    <t xml:space="preserve">  86         :     7  3d3.(2P).4p          3P*  </t>
  </si>
  <si>
    <t xml:space="preserve">  87         :     7  3d3.(2P).4p          3P*  </t>
  </si>
  <si>
    <t xml:space="preserve">  86         :     8  3d3.(2P).4p          3P*  </t>
  </si>
  <si>
    <t xml:space="preserve">  84         :    12  3d3.(2G).4p          3H*  </t>
  </si>
  <si>
    <t xml:space="preserve">  85         :    11  3d3.(2G).4p          3H*  </t>
  </si>
  <si>
    <t xml:space="preserve">  85         :    12  3d3.(2G).4p          3H*  </t>
  </si>
  <si>
    <t>3d3.(2D1).4s</t>
  </si>
  <si>
    <t xml:space="preserve">  48         :    34  3d3.(2G).4p          1F*  </t>
  </si>
  <si>
    <t>3d3.(4P).4p</t>
  </si>
  <si>
    <t xml:space="preserve">  38         :    29  3d2.(3P).4s.4p.(1P*) 3P*  </t>
  </si>
  <si>
    <t xml:space="preserve">  39         :    25  3d2.(3P).4s.4p.(1P*) 3P*  </t>
  </si>
  <si>
    <t xml:space="preserve">  58         :    31  3d2.(3F).4s.4p.(1P*) 3F*  </t>
  </si>
  <si>
    <t xml:space="preserve">  56         :    29  3d2.(3F).4s.4p.(1P*) 3F*  </t>
  </si>
  <si>
    <t xml:space="preserve">  59         :    28  3d2.(3F).4s.4p.(1P*) 3F*  </t>
  </si>
  <si>
    <t xml:space="preserve">  39         :    28  3d2.(3P).4s.4p.(3P*) 1P*  </t>
  </si>
  <si>
    <t>v 3F*</t>
  </si>
  <si>
    <t xml:space="preserve">  82         :     9  3d.4s2.4p            3F*  </t>
  </si>
  <si>
    <t xml:space="preserve">  83         :     9  3d.4s2.4p            3F*  </t>
  </si>
  <si>
    <t xml:space="preserve">  83         :    10  3d.4s2.4p            3F*  </t>
  </si>
  <si>
    <t>3P2</t>
  </si>
  <si>
    <t xml:space="preserve">  56         :    41  3d4                  3P1  </t>
  </si>
  <si>
    <t>3d3.4d</t>
  </si>
  <si>
    <t>3d3.(2G).4p</t>
  </si>
  <si>
    <t xml:space="preserve">  62         :    21  3d3.(2H).4p          1H*  </t>
  </si>
  <si>
    <t xml:space="preserve">  59         :    20  3d2.(1D).4s.4p.(1P*) 1P*  </t>
  </si>
  <si>
    <t>x 1D*</t>
  </si>
  <si>
    <t xml:space="preserve">  61         :    14  3d2.(3F).4s.4p.(3P*) 1D*  </t>
  </si>
  <si>
    <t>3F2</t>
  </si>
  <si>
    <t>3H</t>
  </si>
  <si>
    <t>3d2.(3P).4s.4p.(1P*)</t>
  </si>
  <si>
    <t xml:space="preserve">  64         :    34  3d3.(4P).4p          3S*  </t>
  </si>
  <si>
    <t xml:space="preserve">  85         :    12  3d2.(1G).4s.4p.(3P*) 3H*  </t>
  </si>
  <si>
    <t xml:space="preserve">  84         :    13  3d2.(1G).4s.4p.(3P*) 3H*  </t>
  </si>
  <si>
    <t>3d2.4s.(4F).5s</t>
  </si>
  <si>
    <t>3d2.(1G).4s.4p.(1P*)</t>
  </si>
  <si>
    <t xml:space="preserve">  49         :    30  3d3.(2G).4p          1G*  </t>
  </si>
  <si>
    <t>3d3.(2D2).4p</t>
  </si>
  <si>
    <t>w 3P*</t>
  </si>
  <si>
    <t xml:space="preserve">  47         :    31  3d3.(4P).4p          3P*  </t>
  </si>
  <si>
    <t xml:space="preserve">  45         :    32  3d3.(4P).4p          3P*  </t>
  </si>
  <si>
    <t xml:space="preserve">  46         :    35  3d3.(4P).4p          3P*  </t>
  </si>
  <si>
    <t xml:space="preserve">  78         :    10  3d2.(1G).4s.4p.(3P*) 3G*  </t>
  </si>
  <si>
    <t xml:space="preserve">  80         :     9  3d2.(1G).4s.4p.(3P*) 3G*  </t>
  </si>
  <si>
    <t xml:space="preserve">  81         :     8  3d2.(1G).4s.4p.(3P*) 3G*  </t>
  </si>
  <si>
    <t>3d.4s2.4p</t>
  </si>
  <si>
    <t xml:space="preserve">  46         :    22  3d2.(1G).4s.4p.(1P*) 1F*  </t>
  </si>
  <si>
    <t>u 3F*</t>
  </si>
  <si>
    <t xml:space="preserve">  51         :    28  3d3.(2G).4p          3F*  </t>
  </si>
  <si>
    <t xml:space="preserve">  47         :    27  3d3.(2G).4p          3F*  </t>
  </si>
  <si>
    <t xml:space="preserve">  45         :    28  3d3.(2G).4p          3F*  </t>
  </si>
  <si>
    <t xml:space="preserve">  47         :    26  3d3.(2P).4p          3D*  </t>
  </si>
  <si>
    <t xml:space="preserve">  46         :    24  3d3.(2P).4p          3D*  </t>
  </si>
  <si>
    <t xml:space="preserve">  48         :    23  3d3.(2P).4p          3D*  </t>
  </si>
  <si>
    <t>t 3F*</t>
  </si>
  <si>
    <t xml:space="preserve">  59         :    27  3d3.(2D2).4p         3F*  </t>
  </si>
  <si>
    <t xml:space="preserve">  58         :    26  3d3.(2D2).4p         3F*  </t>
  </si>
  <si>
    <t xml:space="preserve">  58         :    29  3d3.(2D2).4p         3F*  </t>
  </si>
  <si>
    <t>1G2</t>
  </si>
  <si>
    <t>3d3.(2H).4p</t>
  </si>
  <si>
    <t>3d3.(2P).4p</t>
  </si>
  <si>
    <t xml:space="preserve">  45         :    24  3d.4s2.4p            3D*  </t>
  </si>
  <si>
    <t xml:space="preserve">  47         :    22  3d.4s2.4p            3D*  </t>
  </si>
  <si>
    <t xml:space="preserve">  45         :    26  3d.4s2.4p            3D*  </t>
  </si>
  <si>
    <t xml:space="preserve">  57         :    27  3d3.(2H).4p          1G*  </t>
  </si>
  <si>
    <t>x 1P*</t>
  </si>
  <si>
    <t xml:space="preserve">  74         :    14  3d3.(2P).4p          1P*  </t>
  </si>
  <si>
    <t>3d3.(4F).5s</t>
  </si>
  <si>
    <t>x 3H*</t>
  </si>
  <si>
    <t xml:space="preserve">  85         :    10  3d2.(1G).4s.4p.(3P*) 3H*  </t>
  </si>
  <si>
    <t>w 1D*</t>
  </si>
  <si>
    <t xml:space="preserve">  41         :    28  3d3.(2P).4p          1D*  </t>
  </si>
  <si>
    <t>f 3F</t>
  </si>
  <si>
    <t xml:space="preserve">  62         :    17  3d3.(2P).4p          3D*  </t>
  </si>
  <si>
    <t xml:space="preserve">  63         :    16  3d3.(2P).4p          3D*  </t>
  </si>
  <si>
    <t xml:space="preserve">  62         :    18  3d3.(2P).4p          3D*  </t>
  </si>
  <si>
    <t>w 1F*</t>
  </si>
  <si>
    <t xml:space="preserve">  84         :     8  3d2.(1D).4s.4p.(1P*) 1F*  </t>
  </si>
  <si>
    <t>v 3P*</t>
  </si>
  <si>
    <t xml:space="preserve">  46         :    27  3d2.(3P).4s.4p.(1P*) 3P*  </t>
  </si>
  <si>
    <t xml:space="preserve">  45         :    28  3d2.(3P).4s.4p.(1P*) 3P*  </t>
  </si>
  <si>
    <t>r 3D*</t>
  </si>
  <si>
    <t xml:space="preserve">  52         :    27  3d3.(2D2).4p         3D*  </t>
  </si>
  <si>
    <t xml:space="preserve">  51         :    28  3d3.(2D2).4p         3D*  </t>
  </si>
  <si>
    <t xml:space="preserve">  53         :    29  3d3.(2D2).4p         3D*  </t>
  </si>
  <si>
    <t>x 3S*</t>
  </si>
  <si>
    <t xml:space="preserve">  62         :    15  3d.4s2.4p            3P*  </t>
  </si>
  <si>
    <t xml:space="preserve">  52         :    40  3d3.(2G).4p          1H*  </t>
  </si>
  <si>
    <t>3d2.4s.(2F).5s</t>
  </si>
  <si>
    <t>e 1F</t>
  </si>
  <si>
    <t xml:space="preserve">  88         :     7  3d2.(3F).4s.4p.(1P*) 3G*  </t>
  </si>
  <si>
    <t xml:space="preserve">  89         :     8  3d2.(3F).4s.4p.(1P*) 3G*  </t>
  </si>
  <si>
    <t xml:space="preserve">  90         :     7  3d2.(3F).4s.4p.(1P*) 3G*  </t>
  </si>
  <si>
    <t>s 3F*</t>
  </si>
  <si>
    <t xml:space="preserve">  61         :    21  3d3.(2D2).4p         3F*  </t>
  </si>
  <si>
    <t xml:space="preserve">  64         :    18  3d3.(2D2).4p         3F*  </t>
  </si>
  <si>
    <t xml:space="preserve">  63         :    15  3d3.(2D2).4p         3F*  </t>
  </si>
  <si>
    <t>v 1F*</t>
  </si>
  <si>
    <t xml:space="preserve">  48         :    29  3d2.(1D).4s.4p.(1P*) 1F*  </t>
  </si>
  <si>
    <t>3d2.4s.(4F).5p</t>
  </si>
  <si>
    <t>3d2.4s.(4F).4d</t>
  </si>
  <si>
    <t>e 5H</t>
  </si>
  <si>
    <t>g 3F</t>
  </si>
  <si>
    <t>u 3P*</t>
  </si>
  <si>
    <t xml:space="preserve">  41         :    28  3d3.(2D2).4p         3P*  </t>
  </si>
  <si>
    <t xml:space="preserve">  44         :    31  3d3.(2D2).4p         3P*  </t>
  </si>
  <si>
    <t xml:space="preserve">  42         :    32  3d3.(2D2).4p         3P*  </t>
  </si>
  <si>
    <t>q 3D*</t>
  </si>
  <si>
    <t xml:space="preserve">  42         :    24  3d2.(3P).4s.4p.(1P*) 3D*  </t>
  </si>
  <si>
    <t xml:space="preserve">  40         :    19  3d2.(3P).4s.4p.(1P*) 3D*  </t>
  </si>
  <si>
    <t xml:space="preserve">  49         :    21  3d3.(2F).4p          3D*  </t>
  </si>
  <si>
    <t>3d2.4s.4d</t>
  </si>
  <si>
    <t xml:space="preserve">  41         :    19  3d.4s2.4p            1D*  </t>
  </si>
  <si>
    <t>3F1</t>
  </si>
  <si>
    <t>g 5F</t>
  </si>
  <si>
    <t>r 3F*</t>
  </si>
  <si>
    <t>3d3.(4F).4d</t>
  </si>
  <si>
    <t>u 1D*</t>
  </si>
  <si>
    <t xml:space="preserve">  45         :    26  3d2.(1D).4s.4p.(1P*) 1D*  </t>
  </si>
  <si>
    <t>3d3.(4F).5p</t>
  </si>
  <si>
    <t>f 5H</t>
  </si>
  <si>
    <t>o 3D*</t>
  </si>
  <si>
    <t>5P</t>
  </si>
  <si>
    <t xml:space="preserve">  73         :    20  3d3.(2H).4p          1H*  </t>
  </si>
  <si>
    <t>3P1</t>
  </si>
  <si>
    <t>w 3S*</t>
  </si>
  <si>
    <t>n 3D*</t>
  </si>
  <si>
    <t>3d2.4s.(2P).4p</t>
  </si>
  <si>
    <t>3d2.4s.(2D).5s</t>
  </si>
  <si>
    <t>3d2.4s.(2F).4d</t>
  </si>
  <si>
    <t>f 3H</t>
  </si>
  <si>
    <t>3d2.4s.(4F).6s</t>
  </si>
  <si>
    <t>h 5F</t>
  </si>
  <si>
    <t>e 1G</t>
  </si>
  <si>
    <t>3d2.4s.(2F).5p</t>
  </si>
  <si>
    <t>u 1G*</t>
  </si>
  <si>
    <t>f 1F</t>
  </si>
  <si>
    <t>3d3.(2F).4p</t>
  </si>
  <si>
    <t xml:space="preserve">  86         :    10  3d3.(2F).4p          3F*  </t>
  </si>
  <si>
    <t xml:space="preserve">  85         :    11  3d3.(2F).4p          3F*  </t>
  </si>
  <si>
    <t>3d2.4p2</t>
  </si>
  <si>
    <t>g 5G</t>
  </si>
  <si>
    <t>p 3F*</t>
  </si>
  <si>
    <t xml:space="preserve">  83         :    11  3d3.(2F).4p          3G*  </t>
  </si>
  <si>
    <t xml:space="preserve">  84         :    12  3d3.(2F).4p          3G*  </t>
  </si>
  <si>
    <t>3d2.4s.(4F).5d</t>
  </si>
  <si>
    <t>g 5H</t>
  </si>
  <si>
    <t>h 5G</t>
  </si>
  <si>
    <t>3d3.(2G).5s</t>
  </si>
  <si>
    <t>3d2.4s.(4F&lt;3/2&gt;).4f</t>
  </si>
  <si>
    <t>3d2.4s.(4F&lt;5/2&gt;).4f</t>
  </si>
  <si>
    <t>3d2.4s.(4F&lt;7/2&gt;).4f</t>
  </si>
  <si>
    <t>2[13/2]*</t>
  </si>
  <si>
    <t>u 1F*</t>
  </si>
  <si>
    <t xml:space="preserve">  53         :    24  3d.4s2.4p            1F*  </t>
  </si>
  <si>
    <t>3d2.4s.(4F&lt;9/2&gt;).4f</t>
  </si>
  <si>
    <t>2[15/2]*</t>
  </si>
  <si>
    <t>h 5D</t>
  </si>
  <si>
    <t>3d3.(4F&lt;3/2&gt;).4f</t>
  </si>
  <si>
    <t>3d3.(4F&lt;5/2&gt;).4f</t>
  </si>
  <si>
    <t>3d3.(4F&lt;7/2&gt;).4f</t>
  </si>
  <si>
    <t>3d3.(4F&lt;9/2&gt;).4f</t>
  </si>
  <si>
    <t>3d2.4s.(4F&lt;3/2&gt;).5g</t>
  </si>
  <si>
    <t>3d2.4s.(4F&lt;5/2&gt;).5g</t>
  </si>
  <si>
    <t>3d2.4s.(4F&lt;7/2&gt;).5g</t>
  </si>
  <si>
    <t>2[15/2]</t>
  </si>
  <si>
    <t>3d2.4s.(4F&lt;9/2&gt;).5g</t>
  </si>
  <si>
    <t>2[17/2]</t>
  </si>
  <si>
    <t>Ti II (3d2.4s 4F&lt;3/2&gt;)</t>
  </si>
  <si>
    <t>L17996</t>
  </si>
  <si>
    <t>3d3.4s2</t>
  </si>
  <si>
    <t>a 4F</t>
  </si>
  <si>
    <t xml:space="preserve">  92         :     5  3d3.(4F).4p2.(1S)     4F   </t>
  </si>
  <si>
    <t>L20010,L193</t>
  </si>
  <si>
    <t xml:space="preserve">  94         :     5  3d3.(4F).4p2.(1S)     4F   </t>
  </si>
  <si>
    <t>L15916,L20010,L193</t>
  </si>
  <si>
    <t>3d4.(5D).4s</t>
  </si>
  <si>
    <t>a 6D</t>
  </si>
  <si>
    <t>a 4D</t>
  </si>
  <si>
    <t>L15916,L20010,L14162</t>
  </si>
  <si>
    <t>a 4P</t>
  </si>
  <si>
    <t xml:space="preserve">  77         :    16  3d4.(3P2).4s          4P   </t>
  </si>
  <si>
    <t xml:space="preserve">  76         :    16  3d4.(3P2).4s          4P   </t>
  </si>
  <si>
    <t xml:space="preserve">  79         :    15  3d4.(3P2).4s          4P   </t>
  </si>
  <si>
    <t>a 2G</t>
  </si>
  <si>
    <t xml:space="preserve">  92         :     5  3d3.(2G).4p2.(1S)     2G   </t>
  </si>
  <si>
    <t xml:space="preserve">  90         :     5  3d3.(2G).4p2.(1S)     2G   </t>
  </si>
  <si>
    <t>a 2P</t>
  </si>
  <si>
    <t xml:space="preserve">  58         :    24  3d3.4s2               2D2  </t>
  </si>
  <si>
    <t xml:space="preserve">  79         :    13  3d4.(3P2).4s          2P   </t>
  </si>
  <si>
    <t xml:space="preserve">  63         :    21  3d3.4s2               2P   </t>
  </si>
  <si>
    <t xml:space="preserve">  86         :     3  3d4.(3D).4s           2D   </t>
  </si>
  <si>
    <t>3d4.(3H).4s</t>
  </si>
  <si>
    <t>a 4H</t>
  </si>
  <si>
    <t xml:space="preserve">  94         :     1  3d3.4s2               2H   </t>
  </si>
  <si>
    <t xml:space="preserve">  90         :     4  3d3.4s2               2H   </t>
  </si>
  <si>
    <t>3d4.(3P2).4s</t>
  </si>
  <si>
    <t>b 4P</t>
  </si>
  <si>
    <t xml:space="preserve">  80         :    16  3d3.4s2               4P   </t>
  </si>
  <si>
    <t xml:space="preserve">  80         :    15  3d3.4s2               4P   </t>
  </si>
  <si>
    <t xml:space="preserve">  81         :    14  3d3.4s2               4P   </t>
  </si>
  <si>
    <t>a 2H</t>
  </si>
  <si>
    <t xml:space="preserve">  86         :     5  3d4.(3H).4s           2H   </t>
  </si>
  <si>
    <t xml:space="preserve">  81         :     6  3d4.(3H).4s           2H   </t>
  </si>
  <si>
    <t>3d4.(3F2).4s</t>
  </si>
  <si>
    <t>b 4F</t>
  </si>
  <si>
    <t xml:space="preserve">  95         :     1  3d4.(3G).4s           4G   </t>
  </si>
  <si>
    <t xml:space="preserve">  94         :     1  3d4.(3G).4s           4G   </t>
  </si>
  <si>
    <t>3d3.(4F).4s.4p.(3P*)</t>
  </si>
  <si>
    <t>z 6G*</t>
  </si>
  <si>
    <t>3d4.(3G).4s</t>
  </si>
  <si>
    <t>a 4G</t>
  </si>
  <si>
    <t>z 6D*</t>
  </si>
  <si>
    <t xml:space="preserve">  90         :     6  3d4.(5D).4p           6D*  </t>
  </si>
  <si>
    <t xml:space="preserve">  88         :     6  3d4.(5D).4p           6D*  </t>
  </si>
  <si>
    <t xml:space="preserve">  86         :     6  3d4.(5D).4p           6D*  </t>
  </si>
  <si>
    <t xml:space="preserve">  85         :     6  3d4.(5D).4p           6D*  </t>
  </si>
  <si>
    <t>z 6F*</t>
  </si>
  <si>
    <t xml:space="preserve">  96         :     3  3d4.(5D).4p           6F*  </t>
  </si>
  <si>
    <t xml:space="preserve">  94         :     3  3d4.(5D).4p           6F*  </t>
  </si>
  <si>
    <t xml:space="preserve">  92         :     4  3d3.(4F).4s.4p.(3P*)  6D*  </t>
  </si>
  <si>
    <t xml:space="preserve">  92         :     3  3d4.(5D).4p           6F*  </t>
  </si>
  <si>
    <t xml:space="preserve">  96         :     4  3d4.(5D).4p           6F*  </t>
  </si>
  <si>
    <t>b 2P</t>
  </si>
  <si>
    <t xml:space="preserve">  82         :    12  3d3.4s2               2P   </t>
  </si>
  <si>
    <t xml:space="preserve">  82         :    11  3d3.4s2               2P   </t>
  </si>
  <si>
    <t>b 2H</t>
  </si>
  <si>
    <t xml:space="preserve">  88         :     5  3d3.4s2               2H   </t>
  </si>
  <si>
    <t>a 2F</t>
  </si>
  <si>
    <t xml:space="preserve">  86         :     7  3d3.4s2               2F   </t>
  </si>
  <si>
    <t xml:space="preserve">  84         :     7  3d3.4s2               2F   </t>
  </si>
  <si>
    <t>3d5</t>
  </si>
  <si>
    <t>a 6S</t>
  </si>
  <si>
    <t xml:space="preserve">  96         :     1  3d4.(5D).4d           6S   </t>
  </si>
  <si>
    <t>L15916,L20010</t>
  </si>
  <si>
    <t>z 4D*</t>
  </si>
  <si>
    <t xml:space="preserve">  87         :     3  3d3.(4P).4s.4p.(3P*)  4D*  </t>
  </si>
  <si>
    <t xml:space="preserve">  90         :     3  3d3.(4P).4s.4p.(3P*)  4D*  </t>
  </si>
  <si>
    <t xml:space="preserve">  88         :     3  3d3.(4P).4s.4p.(3P*)  4D*  </t>
  </si>
  <si>
    <t xml:space="preserve">  89         :     3  3d3.(4P).4s.4p.(3P*)  4D*  </t>
  </si>
  <si>
    <t>3d4.(3D).4s</t>
  </si>
  <si>
    <t>b 4D</t>
  </si>
  <si>
    <t xml:space="preserve">  94         :     1  3d5                   4D   </t>
  </si>
  <si>
    <t>0.892(2)</t>
  </si>
  <si>
    <t xml:space="preserve">  67         :    27  3d4.(1G2).4s          2G   </t>
  </si>
  <si>
    <t>L15916,L20010,L21158</t>
  </si>
  <si>
    <t>1.098(4)</t>
  </si>
  <si>
    <t xml:space="preserve">  58         :    33  3d4.(1G2).4s          2G   </t>
  </si>
  <si>
    <t>3d4.(1G2).4s</t>
  </si>
  <si>
    <t>b 2G</t>
  </si>
  <si>
    <t xml:space="preserve">  60         :    32  3d4.(3G).4s           2G   </t>
  </si>
  <si>
    <t xml:space="preserve">  64         :    26  3d4.(3G).4s           2G   </t>
  </si>
  <si>
    <t>z 4G*</t>
  </si>
  <si>
    <t xml:space="preserve">  92         :     4  3d3.(2G).4s.4p.(3P*)  4G*  </t>
  </si>
  <si>
    <t xml:space="preserve">  90         :     3  3d3.(2G).4s.4p.(3P*)  4G*  </t>
  </si>
  <si>
    <t xml:space="preserve">  89         :     3  3d3.(2G).4s.4p.(3P*)  4G*  </t>
  </si>
  <si>
    <t xml:space="preserve">  93         :     4  3d3.(2G).4s.4p.(3P*)  4G*  </t>
  </si>
  <si>
    <t>3d4.(1I).4s</t>
  </si>
  <si>
    <t>2I</t>
  </si>
  <si>
    <t>1.066(5)</t>
  </si>
  <si>
    <t>0.912(3)</t>
  </si>
  <si>
    <t>z 4F*</t>
  </si>
  <si>
    <t>0.39?</t>
  </si>
  <si>
    <t xml:space="preserve">  90         :     1  3d3.(4F).4s.4p.(3P*)  2D*  </t>
  </si>
  <si>
    <t>1.032(7)</t>
  </si>
  <si>
    <t>L15916,L20010,L14162,L21158</t>
  </si>
  <si>
    <t xml:space="preserve">  95         :     1                             </t>
  </si>
  <si>
    <t>z 2D*</t>
  </si>
  <si>
    <t xml:space="preserve">  88         :     5  3d3.(4P).4s.4p.(3P*)  2D*  </t>
  </si>
  <si>
    <t>1.32?</t>
  </si>
  <si>
    <t xml:space="preserve">  86         :     5  3d3.(4P).4s.4p.(3P*)  2D*  </t>
  </si>
  <si>
    <t>1.073(5)</t>
  </si>
  <si>
    <t xml:space="preserve">  86         :     3  3d3.4s2               2D2  </t>
  </si>
  <si>
    <t>0.750(11)</t>
  </si>
  <si>
    <t xml:space="preserve">  85         :     6  3d4.(1D2).4s          2D   </t>
  </si>
  <si>
    <t>3d4.(5D).4p</t>
  </si>
  <si>
    <t>z 6P*</t>
  </si>
  <si>
    <t xml:space="preserve">  71         :    25  3d3.(4P).4s.4p.(3P*)  6P*  </t>
  </si>
  <si>
    <t xml:space="preserve">  72         :    26  3d3.(4P).4s.4p.(3P*)  6P*  </t>
  </si>
  <si>
    <t xml:space="preserve">  72         :    27  3d3.(4P).4s.4p.(3P*)  6P*  </t>
  </si>
  <si>
    <t>z 4P*</t>
  </si>
  <si>
    <t xml:space="preserve">  85         :     5  3d3.(4P).4s.4p.(1P*)  4P*  </t>
  </si>
  <si>
    <t>1.091(4)</t>
  </si>
  <si>
    <t xml:space="preserve">  71         :    14  3d4.(1F).4s           2F   </t>
  </si>
  <si>
    <t>0.859(6)</t>
  </si>
  <si>
    <t xml:space="preserve">  69         :    14  3d4.(1F).4s           2F   </t>
  </si>
  <si>
    <t>y 6F*</t>
  </si>
  <si>
    <t xml:space="preserve">  94         :     4  3d3.(4F).4s.4p.(3P*)  6F*  </t>
  </si>
  <si>
    <t xml:space="preserve">  96         :     3  3d3.(4F).4s.4p.(3P*)  6F*  </t>
  </si>
  <si>
    <t>y 4F*</t>
  </si>
  <si>
    <t xml:space="preserve">  74         :    18  3d3.(4F).4s.4p.(1P*)  4F*  </t>
  </si>
  <si>
    <t xml:space="preserve">  71         :    18  3d3.(4F).4s.4p.(1P*)  4F*  </t>
  </si>
  <si>
    <t>o</t>
  </si>
  <si>
    <t xml:space="preserve">  62         :    10  3d3.(4F).4s.4p.(1P*)  4F*  </t>
  </si>
  <si>
    <t xml:space="preserve">  59         :    10  3d3.(4F).4s.4p.(3P*)  2G*  </t>
  </si>
  <si>
    <t>z 2G*</t>
  </si>
  <si>
    <t xml:space="preserve">  92         :     2  3d4.(3F2).4p          2G*  </t>
  </si>
  <si>
    <t xml:space="preserve">  83         :     7  3d4.(5D).4p           4F*  </t>
  </si>
  <si>
    <t>y 4D*</t>
  </si>
  <si>
    <t xml:space="preserve">  61         :    32  3d3.(4F).4s.4p.(1P*)  4D*  </t>
  </si>
  <si>
    <t xml:space="preserve">  61         :    31  3d3.(4F).4s.4p.(1P*)  4D*  </t>
  </si>
  <si>
    <t xml:space="preserve">  58         :    21  3d3.(4F).4s.4p.(1P*)  4D*  </t>
  </si>
  <si>
    <t>3d4.(1D2).4s</t>
  </si>
  <si>
    <t xml:space="preserve">  89         :     5  3d3.4s2               2D1  </t>
  </si>
  <si>
    <t xml:space="preserve">  84         :     6  3d3.4s2               2D1  </t>
  </si>
  <si>
    <t>y 6D*</t>
  </si>
  <si>
    <t xml:space="preserve">  83         :     7  3d3.(4F).4s.4p.(3P*)  6D*  </t>
  </si>
  <si>
    <t xml:space="preserve">  85         :     8  3d3.(4F).4s.4p.(3P*)  6D*  </t>
  </si>
  <si>
    <t xml:space="preserve">  81         :     7  3d3.(4F).4s.4p.(3P*)  6D*  </t>
  </si>
  <si>
    <t xml:space="preserve">  81         :     8  3d3.(4F).4s.4p.(3P*)  6D*  </t>
  </si>
  <si>
    <t xml:space="preserve">  76         :     7  3d4.(5D).4p           4F*  </t>
  </si>
  <si>
    <t>z 2F*</t>
  </si>
  <si>
    <t>0.856(2)</t>
  </si>
  <si>
    <t xml:space="preserve">  96         :     2  3d2.(3F).4s2.4p       2F*  </t>
  </si>
  <si>
    <t xml:space="preserve">  96         :     1  3d2.(3F).4s2.4p       2F*  </t>
  </si>
  <si>
    <t>3d3.(4P).4s.4p.(3P*)</t>
  </si>
  <si>
    <t>x 6D*</t>
  </si>
  <si>
    <t xml:space="preserve">  90         :     8  3d4.(5D).4p           6D*  </t>
  </si>
  <si>
    <t xml:space="preserve">  88         :     8  3d4.(5D).4p           6D*  </t>
  </si>
  <si>
    <t>y 6P*</t>
  </si>
  <si>
    <t xml:space="preserve">  72         :    26  3d4.(5D).4p           6P*  </t>
  </si>
  <si>
    <t>y 4P*</t>
  </si>
  <si>
    <t xml:space="preserve">  68         :    11  3d3.(2D2).4s.4p.(3P*) 4P*  </t>
  </si>
  <si>
    <t xml:space="preserve">  72         :    10  3d3.(2D2).4s.4p.(3P*) 4P*  </t>
  </si>
  <si>
    <t xml:space="preserve">  75         :     8  3d3.(2D2).4s.4p.(3P*) 4P*  </t>
  </si>
  <si>
    <t>3d3.(2G).4s.4p.(3P*)</t>
  </si>
  <si>
    <t>y 4G*</t>
  </si>
  <si>
    <t xml:space="preserve">  46         :    46  3d3.(4F).4s.4p.(1P*)  4G*  </t>
  </si>
  <si>
    <t xml:space="preserve">  50         :    43  3d3.(4F).4s.4p.(1P*)  4G*  </t>
  </si>
  <si>
    <t xml:space="preserve">  56         :    36  3d3.(4F).4s.4p.(1P*)  4G*  </t>
  </si>
  <si>
    <t xml:space="preserve">  64         :    29  3d3.(4F).4s.4p.(1P*)  4G*  </t>
  </si>
  <si>
    <t>z 6S*</t>
  </si>
  <si>
    <t xml:space="preserve">  96         :     1  3d3.(4P).4s.4p.(3P*)  4P*  </t>
  </si>
  <si>
    <t>x 4F*</t>
  </si>
  <si>
    <t xml:space="preserve">  77         :    10  3d3.(2D2).4s.4p.(3P*) 4F*  </t>
  </si>
  <si>
    <t xml:space="preserve">  74         :    10  3d3.(2D2).4s.4p.(3P*) 4F*  </t>
  </si>
  <si>
    <t xml:space="preserve">  74         :     8  3d3.(2D2).4s.4p.(3P*) 4F*  </t>
  </si>
  <si>
    <t xml:space="preserve">  81         :     8  3d3.(2D2).4s.4p.(3P*) 4F*  </t>
  </si>
  <si>
    <t>3d4.(3F1).4s</t>
  </si>
  <si>
    <t xml:space="preserve">  87         :     3  3d3.4s.(5F).4d        4F   </t>
  </si>
  <si>
    <t xml:space="preserve">  90         :     3  3d3.4s.(5F).4d        4F   </t>
  </si>
  <si>
    <t xml:space="preserve">  90         :     4  3d3.4s.(5F).4d        4F   </t>
  </si>
  <si>
    <t xml:space="preserve">  89         :     3  3d3.4s.(5F).4d        4F   </t>
  </si>
  <si>
    <t>3d3.(4F).4s.4p.(1P*)</t>
  </si>
  <si>
    <t>x 4G*</t>
  </si>
  <si>
    <t xml:space="preserve">  25         :    38  3d3.(2G).4s.4p.(3P*)  4G*  </t>
  </si>
  <si>
    <t xml:space="preserve">  24         :    34  3d3.(2G).4s.4p.(3P*)  4G*  </t>
  </si>
  <si>
    <t xml:space="preserve">  28         :    30  3d3.(2G).4s.4p.(3P*)  4G*  </t>
  </si>
  <si>
    <t xml:space="preserve">  30         :    27  3d3.(4F).4s.4p.(3P*)  4G*  </t>
  </si>
  <si>
    <t>3d4.(3P1).4s</t>
  </si>
  <si>
    <t xml:space="preserve">  59         :    28  3d5                   4P   </t>
  </si>
  <si>
    <t xml:space="preserve">  55         :    32  3d5                   4P   </t>
  </si>
  <si>
    <t xml:space="preserve">  52         :    37  3d5                   4P   </t>
  </si>
  <si>
    <t>3d3.(2P).4s.4p.(3P*)</t>
  </si>
  <si>
    <t xml:space="preserve">  59         :    18  3d3.(2P).4s.4p.(3P*)  2S*  </t>
  </si>
  <si>
    <t>3d4.(3P2).4p</t>
  </si>
  <si>
    <t>y 2S*</t>
  </si>
  <si>
    <t xml:space="preserve">  34         :    23  3d3.(4P).4s.4p.(3P*)  2P*  </t>
  </si>
  <si>
    <t>x 4D*</t>
  </si>
  <si>
    <t xml:space="preserve">  24         :    13  3d3.(4P).4s.4p.(3P*)  4D*  </t>
  </si>
  <si>
    <t xml:space="preserve">  28         :    21  3d3.(4P).4s.4p.(3P*)  4D*  </t>
  </si>
  <si>
    <t xml:space="preserve">  24         :    21  3d3.(2P).4s.4p.(3P*)  4P*  </t>
  </si>
  <si>
    <t xml:space="preserve">  35         :    18  3d3.(4P).4s.4p.(3P*)  4D*  </t>
  </si>
  <si>
    <t xml:space="preserve">  86         :     7  3d4.(5D).4d           4G   </t>
  </si>
  <si>
    <t xml:space="preserve">  86         :     6  3d4.(5D).4d           4G   </t>
  </si>
  <si>
    <t>3d3.(2H).4s.4p.(3P*)</t>
  </si>
  <si>
    <t>z 4H*</t>
  </si>
  <si>
    <t xml:space="preserve">  62         :    19  3d4.(3H).4p           4H*  </t>
  </si>
  <si>
    <t xml:space="preserve">  64         :    20  3d4.(3H).4p           4H*  </t>
  </si>
  <si>
    <t xml:space="preserve">  67         :    22  3d4.(3H).4p           4H*  </t>
  </si>
  <si>
    <t xml:space="preserve">  67         :    23  3d4.(3H).4p           4H*  </t>
  </si>
  <si>
    <t>z 2P*</t>
  </si>
  <si>
    <t>0.73?</t>
  </si>
  <si>
    <t xml:space="preserve">  23         :    34  3d4.(3P1).4p          2S*  </t>
  </si>
  <si>
    <t xml:space="preserve">  52         :    24  3d4.(3P2).4p          2P*  </t>
  </si>
  <si>
    <t>w 4F*</t>
  </si>
  <si>
    <t xml:space="preserve">  58         :    21  3d4.(5D).4p           4F*  </t>
  </si>
  <si>
    <t xml:space="preserve">  58         :    22  3d4.(5D).4p           4F*  </t>
  </si>
  <si>
    <t xml:space="preserve">  57         :    20  3d4.(5D).4p           4F*  </t>
  </si>
  <si>
    <t xml:space="preserve">  57         :    21  3d4.(5D).4p           4F*  </t>
  </si>
  <si>
    <t>y 2G*</t>
  </si>
  <si>
    <t xml:space="preserve">  82         :     4  3d4.(1G2).4s          2G*  </t>
  </si>
  <si>
    <t xml:space="preserve">  81         :     6  3d3.(2H).4s.4p.(3P*)  4H*  </t>
  </si>
  <si>
    <t xml:space="preserve">  50         :    32  3d4.(3P2).4s          4P   </t>
  </si>
  <si>
    <t xml:space="preserve">  46         :    36  3d4.(3P1).4s          4P   </t>
  </si>
  <si>
    <t xml:space="preserve">  46         :    37  3d4.(3P1).4s          4P   </t>
  </si>
  <si>
    <t>y 2F*</t>
  </si>
  <si>
    <t xml:space="preserve">  69         :     5  3d3.(2D2).4s.4p.(3P*) 2F*  </t>
  </si>
  <si>
    <t xml:space="preserve">  71         :     5  3d3.(2D2).4s.4p.(3P*) 2F*  </t>
  </si>
  <si>
    <t>z 2H*</t>
  </si>
  <si>
    <t xml:space="preserve">  79         :     6  3d3.(2H).4s.4p.(3P*)  4I*  </t>
  </si>
  <si>
    <t xml:space="preserve">  82         :     6  3d3.(2H).4s.4p.(3P*)  2H*  </t>
  </si>
  <si>
    <t>w 4D*</t>
  </si>
  <si>
    <t xml:space="preserve">  49         :    12  3d3.(2P).4s.4p.(3P*)  4D*  </t>
  </si>
  <si>
    <t xml:space="preserve">  48         :    14  3d3.(2P).4s.4p.(3P*)  4D*  </t>
  </si>
  <si>
    <t xml:space="preserve">  45         :    15  3d3.(2P).4s.4p.(3P*)  4D*  </t>
  </si>
  <si>
    <t xml:space="preserve">  44         :    17  3d3.(2P).4s.4p.(3P*)  4D*  </t>
  </si>
  <si>
    <t xml:space="preserve">  23         :    14  3d3.(2D2).4s.4p.(3P*) 4F*  </t>
  </si>
  <si>
    <t xml:space="preserve">  28         :    14  3d3.(2D2).4s.4p.(3P*) 2D*  </t>
  </si>
  <si>
    <t>c 4D</t>
  </si>
  <si>
    <t xml:space="preserve">  77         :    10  3d4.(5D).4d           4D   </t>
  </si>
  <si>
    <t xml:space="preserve">  76         :    10  3d4.(5D).4d           4D   </t>
  </si>
  <si>
    <t xml:space="preserve">  79         :    10  3d4.(5D).4d           4D   </t>
  </si>
  <si>
    <t>3d3.(2D2).4s.4p.(3P*)</t>
  </si>
  <si>
    <t xml:space="preserve">  72         :     6  3d3.(2G).4s.4p.(3P*)  4F*  </t>
  </si>
  <si>
    <t xml:space="preserve">  55         :     7  3d3.(2G).4s.4p.(3P*)  4F*  </t>
  </si>
  <si>
    <t xml:space="preserve">  56         :     6  3d3.(2G).4s.4p.(3P*)  4F*  </t>
  </si>
  <si>
    <t xml:space="preserve">  80         :     7  3d3.(2G).4s.4p.(3P*)  4F*  </t>
  </si>
  <si>
    <t>v 4D*</t>
  </si>
  <si>
    <t xml:space="preserve">  18         :    20  3d3.(2D2).4s.4p.(3P*) 4D*  </t>
  </si>
  <si>
    <t xml:space="preserve">  19         :    21  3d3.(2D2).4s.4p.(3P*) 4D*  </t>
  </si>
  <si>
    <t xml:space="preserve">  21         :    17  3d3.(2D2).4s.4p.(3P*) 4D*  </t>
  </si>
  <si>
    <t xml:space="preserve">  80         :     7  3d5                   2F1  </t>
  </si>
  <si>
    <t xml:space="preserve">  81         :     9  3d5                   2F1  </t>
  </si>
  <si>
    <t>u 4D*</t>
  </si>
  <si>
    <t xml:space="preserve">  50         :    23  3d3.(2P).4s.4p.(3P*)  4D*  </t>
  </si>
  <si>
    <t xml:space="preserve">  50         :    22  3d3.(2P).4s.4p.(3P*)  4D*  </t>
  </si>
  <si>
    <t xml:space="preserve">  51         :    21  3d3.(2P).4s.4p.(3P*)  4D*  </t>
  </si>
  <si>
    <t xml:space="preserve">  57         :    18  3d3.(2P).4s.4p.(3P*)  4D*  </t>
  </si>
  <si>
    <t>y 4S*</t>
  </si>
  <si>
    <t xml:space="preserve">  22         :    24  3d3.(2D2).4s.4p.(3P*) 4P*  </t>
  </si>
  <si>
    <t>3d4.(3F2).4p</t>
  </si>
  <si>
    <t xml:space="preserve">  18         :    16  3d3.(2G).4s.4p.(1P*)  2G*  </t>
  </si>
  <si>
    <t xml:space="preserve">  14         :    21  3d4.(3H).4p           2G*  </t>
  </si>
  <si>
    <t xml:space="preserve">  24         :    24  3d3.(4P).4s.4p.(3P*)  2P*  </t>
  </si>
  <si>
    <t xml:space="preserve">  26         :    18  3d3.(4P).4s.4p.(3P*)  2P*  </t>
  </si>
  <si>
    <t>x 4P*</t>
  </si>
  <si>
    <t xml:space="preserve">  66         :    14  3d3.(2P).4s.4p.(3P*)  4P*  </t>
  </si>
  <si>
    <t xml:space="preserve">  59         :    13  3d3.(2P).4s.4p.(3P*)  4P*  </t>
  </si>
  <si>
    <t xml:space="preserve">  24         :    15  3d3.(2P).4s.4p.(3P*)  4S*  </t>
  </si>
  <si>
    <t>x 2D*</t>
  </si>
  <si>
    <t xml:space="preserve">  44         :    12  3d4.(3P2).4p          2D*  </t>
  </si>
  <si>
    <t xml:space="preserve">  41         :    12  3d4.(3P2).4p          2D*  </t>
  </si>
  <si>
    <t>x 2F*</t>
  </si>
  <si>
    <t xml:space="preserve">  23         :    14  3d3.(2G).4s.4p.(1P*)  2F*  </t>
  </si>
  <si>
    <t xml:space="preserve">  14         :     8  3d3.(2G).4s.4p.(1P*)  2F*  </t>
  </si>
  <si>
    <t>w 4G*</t>
  </si>
  <si>
    <t xml:space="preserve">  59         :    12  3d4.(3F2).4p          4G*  </t>
  </si>
  <si>
    <t xml:space="preserve">  56         :    12  3d4.(3F2).4p          4G*  </t>
  </si>
  <si>
    <t xml:space="preserve">  61         :    12  3d4.(3F2).4p          4G*  </t>
  </si>
  <si>
    <t xml:space="preserve">  64         :    12  3d4.(3F2).4p          4G*  </t>
  </si>
  <si>
    <t>e 4F</t>
  </si>
  <si>
    <t xml:space="preserve">  61         :    21  3d4.(5D).4d           4F   </t>
  </si>
  <si>
    <t xml:space="preserve">  62         :    21  3d4.(5D).4d           4F   </t>
  </si>
  <si>
    <t xml:space="preserve">  58         :    19  3d4.(5D).4d           4F   </t>
  </si>
  <si>
    <t>3d4.(5D).5s</t>
  </si>
  <si>
    <t>e 6D</t>
  </si>
  <si>
    <t xml:space="preserve">  98         :     2  3d3.4s.(5F).4d        6D   </t>
  </si>
  <si>
    <t xml:space="preserve">  96         :     1  3d3.4s.(5F).4d        6D   </t>
  </si>
  <si>
    <t>3d4.(3H).4p</t>
  </si>
  <si>
    <t>v 2G*</t>
  </si>
  <si>
    <t xml:space="preserve">  41         :    13  3d3.(2H).4s.4p.(1P*)  2G*  </t>
  </si>
  <si>
    <t xml:space="preserve">  26         :    16  3d4.(3G).4p           2G*  </t>
  </si>
  <si>
    <t>y 2H*</t>
  </si>
  <si>
    <t xml:space="preserve">  55         :    14  3d4.(3H).4p           2G*  </t>
  </si>
  <si>
    <t xml:space="preserve">  75         :     9  3d4.(3H).4p           2H*  </t>
  </si>
  <si>
    <t>z 4I*</t>
  </si>
  <si>
    <t xml:space="preserve">  92         :     1  3d3.(2H).4s.4p.(3P*)  4I*  </t>
  </si>
  <si>
    <t xml:space="preserve">  92         :     1  3d3.(2H).4s.4p.(3P*)  2I*  </t>
  </si>
  <si>
    <t>15/2</t>
  </si>
  <si>
    <t xml:space="preserve">  96         :     1  3d3.(2H).4s.4p.(3P*)  4I*  </t>
  </si>
  <si>
    <t>w 2F*</t>
  </si>
  <si>
    <t xml:space="preserve">  24         :    21  3d3.(2G).4s.4p.(1P*)  2F*  </t>
  </si>
  <si>
    <t xml:space="preserve">  19         :    17  3d4.(3H).4p           2G*  </t>
  </si>
  <si>
    <t>3d3.4s.(5F).5s</t>
  </si>
  <si>
    <t>e 6F</t>
  </si>
  <si>
    <t>w 2D*</t>
  </si>
  <si>
    <t xml:space="preserve">  55         :    23  3d3.(2P).4s.4p.(3P*)  2D*  </t>
  </si>
  <si>
    <t xml:space="preserve">  55         :    20  3d3.(2P).4s.4p.(3P*)  2D*  </t>
  </si>
  <si>
    <t>v 4G*</t>
  </si>
  <si>
    <t xml:space="preserve">  64         :    26  3d3.(2H).4s.4p.(3P*)  4G*  </t>
  </si>
  <si>
    <t xml:space="preserve">  55         :    21  3d3.(2H).4s.4p.(3P*)  4G*  </t>
  </si>
  <si>
    <t xml:space="preserve">  53         :    19  3d3.(2H).4s.4p.(3P*)  4G*  </t>
  </si>
  <si>
    <t xml:space="preserve">  49         :    18  3d3.(2H).4s.4p.(3P*)  4G*  </t>
  </si>
  <si>
    <t>z 2I*</t>
  </si>
  <si>
    <t xml:space="preserve">  32         :    52  3d3.(2H).4s.4p.(1P*)  2I*  </t>
  </si>
  <si>
    <t xml:space="preserve">  30         :    53  3d3.(2H).4s.4p.(1P*)  2I*  </t>
  </si>
  <si>
    <t>t 4D*</t>
  </si>
  <si>
    <t xml:space="preserve">  34         :    11  3d3.(4F).4s.4p.(1P*)  4D*  </t>
  </si>
  <si>
    <t xml:space="preserve">  33         :    12  3d3.(4F).4s.4p.(1P*)  4D*  </t>
  </si>
  <si>
    <t xml:space="preserve">  28         :    10  3d3.(4F).4s.4p.(1P*)  4D*  </t>
  </si>
  <si>
    <t xml:space="preserve">  17         :    15  3d4.(3F2).4p          2F*  </t>
  </si>
  <si>
    <t>e 4D</t>
  </si>
  <si>
    <t xml:space="preserve">  92         :     2  3d3.4s.(5F).4d        4D   </t>
  </si>
  <si>
    <t xml:space="preserve">  90         :     3  3d3.4s.(5F).4d        4D   </t>
  </si>
  <si>
    <t>x 2H*</t>
  </si>
  <si>
    <t xml:space="preserve">  46         :    16  3d3.(2H).4s.4p.(1P*)  2H*  </t>
  </si>
  <si>
    <t xml:space="preserve">  40         :    14  3d3.(2H).4s.4p.(1P*)  2H*  </t>
  </si>
  <si>
    <t>x 4H*</t>
  </si>
  <si>
    <t xml:space="preserve">  45         :    20  3d4.(3G).4p           4H*  </t>
  </si>
  <si>
    <t xml:space="preserve">  41         :    16  3d4.(3G).4p           4H*  </t>
  </si>
  <si>
    <t xml:space="preserve">  40         :    15  3d4.(3G).4p           4H*  </t>
  </si>
  <si>
    <t xml:space="preserve">  55         :    22  3d4.(3G).4p           4H*  </t>
  </si>
  <si>
    <t>u 2G*</t>
  </si>
  <si>
    <t xml:space="preserve">  75         :     8  3d4.(3H).4p           2G*  </t>
  </si>
  <si>
    <t>0.88?</t>
  </si>
  <si>
    <t xml:space="preserve">  76         :     7  3d3.(2F).4s.4p.(3P*)  2G*  </t>
  </si>
  <si>
    <t>y 2I*</t>
  </si>
  <si>
    <t xml:space="preserve">  48         :    52  3d4.(3H).4p           2I*  </t>
  </si>
  <si>
    <t xml:space="preserve">  43         :    53  3d4.(3H).4p           2I*  </t>
  </si>
  <si>
    <t>f 4F</t>
  </si>
  <si>
    <t>0.46?</t>
  </si>
  <si>
    <t xml:space="preserve">  93         :     3  3d4.(5D).4d           4F   </t>
  </si>
  <si>
    <t xml:space="preserve">  91         :     3  3d4.(5D).4d           4F   </t>
  </si>
  <si>
    <t>1.22?</t>
  </si>
  <si>
    <t xml:space="preserve">  94         :     3  3d4.(5D).4d           4F   </t>
  </si>
  <si>
    <t>w 4P*</t>
  </si>
  <si>
    <t xml:space="preserve">  47         :    20  3d3.(2P).4s.4p.(3P*)  4P*  </t>
  </si>
  <si>
    <t xml:space="preserve">  25         :    10  3d3.(2P).4s.4p.(3P*)  4P*  </t>
  </si>
  <si>
    <t xml:space="preserve">  41         :    16  3d3.(2P).4s.4p.(3P*)  4P*  </t>
  </si>
  <si>
    <t>u 4F*</t>
  </si>
  <si>
    <t xml:space="preserve">  64         :    11  3d3.(2F).4s.4p.(3P*)  4F*  </t>
  </si>
  <si>
    <t xml:space="preserve">  62         :    10  3d3.(2F).4s.4p.(3P*)  4F*  </t>
  </si>
  <si>
    <t xml:space="preserve">  63         :    12  3d3.(2F).4s.4p.(3P*)  4F*  </t>
  </si>
  <si>
    <t>x 4S*</t>
  </si>
  <si>
    <t xml:space="preserve">  43         :    28  3d3.(4P).4s.4p.(1P*)  4S*  </t>
  </si>
  <si>
    <t>s 4D*</t>
  </si>
  <si>
    <t xml:space="preserve">  56         :    10  3d3.(4P).4s.4p.(3P*)  4D*  </t>
  </si>
  <si>
    <t xml:space="preserve">  51         :    10  3d4.(3P2).4p          4D*  </t>
  </si>
  <si>
    <t xml:space="preserve">  29         :     6  3d3.(2P).4s.4p.(3P*)  2D*  </t>
  </si>
  <si>
    <t xml:space="preserve">  54         :    23  3d4.(3P2).4p          4D*  </t>
  </si>
  <si>
    <t>v 2D*</t>
  </si>
  <si>
    <t xml:space="preserve">  29         :     8  3d4.(3F2).4p          2D*  </t>
  </si>
  <si>
    <t xml:space="preserve">   7         :    12  3d4.(3F2).4p          4D*  </t>
  </si>
  <si>
    <t>u 4G*</t>
  </si>
  <si>
    <t xml:space="preserve">  44         :    15  3d4.(3G).4p           4G*  </t>
  </si>
  <si>
    <t xml:space="preserve">  52         :    18  3d4.(3G).4p           4G*  </t>
  </si>
  <si>
    <t xml:space="preserve">  56         :    20  3d4.(3G).4p           4G*  </t>
  </si>
  <si>
    <t xml:space="preserve">  53         :    23  3d4.(3G).4p           4G*  </t>
  </si>
  <si>
    <t>3d4.(3G).4p</t>
  </si>
  <si>
    <t>w 4H*</t>
  </si>
  <si>
    <t xml:space="preserve">  69         :    23  3d4.(3H).4p           4H*  </t>
  </si>
  <si>
    <t xml:space="preserve">  71         :    21  3d4.(3H).4p           4H*  </t>
  </si>
  <si>
    <t xml:space="preserve">  71         :    20  3d4.(3H).4p           4H*  </t>
  </si>
  <si>
    <t xml:space="preserve">  72         :    20  3d4.(3H).4p           4H*  </t>
  </si>
  <si>
    <t xml:space="preserve">  42         :     8  3d3.(2D2).4s.4p.(1P*) 2F*  </t>
  </si>
  <si>
    <t>1.106(10)</t>
  </si>
  <si>
    <t xml:space="preserve">  67         :    11  3d3.(2D2).4s.4p.(1P*) 2F*  </t>
  </si>
  <si>
    <t xml:space="preserve">  21         :    29  3d3.(2P).4s.4p.(3P*)  2D*  </t>
  </si>
  <si>
    <t xml:space="preserve">  12         :    18  3d4.(3G).4p           2F*  </t>
  </si>
  <si>
    <t>w 2P*</t>
  </si>
  <si>
    <t xml:space="preserve">  56         :    11  3d3.(2D2).4s.4p.(3P*) 2P*  </t>
  </si>
  <si>
    <t xml:space="preserve">  53         :    10  3d3.(2D2).4s.4p.(3P*) 2P*  </t>
  </si>
  <si>
    <t>t 4F*</t>
  </si>
  <si>
    <t xml:space="preserve">  48         :    15  3d3.4s.(5F).5p        4F*  </t>
  </si>
  <si>
    <t xml:space="preserve">  41         :    14  3d3.4s.(5F).5p        4F*  </t>
  </si>
  <si>
    <t xml:space="preserve">  32         :    10  3d3.4s.(5F).5p        4F*  </t>
  </si>
  <si>
    <t xml:space="preserve">  37         :    12  3d3.4s.(5F).5p        4F*  </t>
  </si>
  <si>
    <t>t 2G*</t>
  </si>
  <si>
    <t xml:space="preserve">  30         :    31  3d4.(3F2).4p          2G*  </t>
  </si>
  <si>
    <t xml:space="preserve">  24         :    26  3d4.(3F2).4p          2G*  </t>
  </si>
  <si>
    <t>v 2H*</t>
  </si>
  <si>
    <t xml:space="preserve">  62         :     8  3d4.(1I).4p           2H*  </t>
  </si>
  <si>
    <t xml:space="preserve">  69         :     7  3d4.(1I).4p           2H*  </t>
  </si>
  <si>
    <t>t 4G*</t>
  </si>
  <si>
    <t xml:space="preserve">  53         :    18  3d3.4s.(5F).5p        4G*  </t>
  </si>
  <si>
    <t xml:space="preserve">  52         :    17  3d3.4s.(5F).5p        4G*  </t>
  </si>
  <si>
    <t xml:space="preserve">  49         :    16  3d3.4s.(5F).5p        4G*  </t>
  </si>
  <si>
    <t xml:space="preserve">  52         :    18  3d3.4s.(5F).5p        4G*  </t>
  </si>
  <si>
    <t>3d3.(4P).4s.4p.(1P*)</t>
  </si>
  <si>
    <t>v 4P*</t>
  </si>
  <si>
    <t xml:space="preserve">  22         :    34  3d4.(5D).5p           4P*  </t>
  </si>
  <si>
    <t xml:space="preserve">  22         :    31  3d4.(5D).5p           4P*  </t>
  </si>
  <si>
    <t xml:space="preserve">  21         :    28  3d4.(5D).5p           4P*  </t>
  </si>
  <si>
    <t>r 4D*</t>
  </si>
  <si>
    <t xml:space="preserve">  11         :    30  3d4.(5D).5p           4D*  </t>
  </si>
  <si>
    <t xml:space="preserve">  12         :    29  3d4.(5D).5p           4D*  </t>
  </si>
  <si>
    <t xml:space="preserve">  13         :    35  3d4.(5D).5p           4D*  </t>
  </si>
  <si>
    <t>3d4.(3D).4p</t>
  </si>
  <si>
    <t>u 2F*</t>
  </si>
  <si>
    <t xml:space="preserve">  41         :     9  3d3.(2D2).4s.4p.(1P*) 2F*  </t>
  </si>
  <si>
    <t xml:space="preserve">  37         :     7  3d3.(2D2).4s.4p.(1P*) 2F*  </t>
  </si>
  <si>
    <t>3d4.(5D).4d</t>
  </si>
  <si>
    <t>e 6G</t>
  </si>
  <si>
    <t xml:space="preserve">  94         :     2  3d3.4s.(5F).4d        6G   </t>
  </si>
  <si>
    <t xml:space="preserve">  92         :     1  3d4.(5D).4d           6F   </t>
  </si>
  <si>
    <t xml:space="preserve">  90         :     2  3d4.(5D).4d           6F   </t>
  </si>
  <si>
    <t xml:space="preserve">  90         :     3  3d4.(5D).4d           6F   </t>
  </si>
  <si>
    <t xml:space="preserve">  92         :     2  3d4.(5D).4d           6F   </t>
  </si>
  <si>
    <t xml:space="preserve">  94         :     1  3d4.(5D).5d           6G   </t>
  </si>
  <si>
    <t>e 6P</t>
  </si>
  <si>
    <t xml:space="preserve">  83         :     8  3d4.(5D).4d           4S   </t>
  </si>
  <si>
    <t xml:space="preserve">  86         :     5  3d4.(5D).4d           6D   </t>
  </si>
  <si>
    <t>1.44?</t>
  </si>
  <si>
    <t xml:space="preserve">  88         :     6  3d4.(5D).4d           6D   </t>
  </si>
  <si>
    <t>3d4.(1I).4p</t>
  </si>
  <si>
    <t>u 2H*</t>
  </si>
  <si>
    <t xml:space="preserve">  16         :    26  3d3.(2G).4s.4p.(1P*)  2H*  </t>
  </si>
  <si>
    <t xml:space="preserve">  21         :    29  3d3.(2G).4s.4p.(1P*)  2H*  </t>
  </si>
  <si>
    <t>3d4.(5D).5p</t>
  </si>
  <si>
    <t>6F*</t>
  </si>
  <si>
    <t xml:space="preserve">  96         :     1  3d4.(5D).5p           6D*  </t>
  </si>
  <si>
    <t xml:space="preserve">  98         :     1  3d4.(5D).5p           6D*  </t>
  </si>
  <si>
    <t>f 6F</t>
  </si>
  <si>
    <t xml:space="preserve">  86         :    12  3d4.(5D).4d           6D   </t>
  </si>
  <si>
    <t xml:space="preserve">  75         :    20  3d4.(5D).4d           6D   </t>
  </si>
  <si>
    <t xml:space="preserve">  69         :    22  3d4.(5D).4d           6D   </t>
  </si>
  <si>
    <t xml:space="preserve">  66         :    25  3d4.(5D).4d           6D   </t>
  </si>
  <si>
    <t xml:space="preserve">  62         :    32  3d4.(5D).4d           6D   </t>
  </si>
  <si>
    <t xml:space="preserve">  95         :     2  3d4.(5D).4d           6G   </t>
  </si>
  <si>
    <t>f 6D</t>
  </si>
  <si>
    <t xml:space="preserve">  84         :    12  3d4.(5D).4d           6F   </t>
  </si>
  <si>
    <t xml:space="preserve">  72         :    21  3d4.(5D).4d           6F   </t>
  </si>
  <si>
    <t xml:space="preserve">  69         :    24  3d4.(5D).4d           6F   </t>
  </si>
  <si>
    <t xml:space="preserve">  64         :    27  3d4.(5D).4d           6F   </t>
  </si>
  <si>
    <t xml:space="preserve">  62         :    32  3d4.(5D).4d           6F   </t>
  </si>
  <si>
    <t>v 2P*</t>
  </si>
  <si>
    <t xml:space="preserve">  40         :    25  3d3.(2P).4s.4p.(1P*)  2P*  </t>
  </si>
  <si>
    <t xml:space="preserve">  36         :    21  3d3.(2P).4s.4p.(1P*)  2P*  </t>
  </si>
  <si>
    <t>w 2S*</t>
  </si>
  <si>
    <t>1.50?</t>
  </si>
  <si>
    <t xml:space="preserve">  79         :     9  3d4.(3P2).4p          2S*  </t>
  </si>
  <si>
    <t>6D*</t>
  </si>
  <si>
    <t xml:space="preserve">  67         :    10  3d4.(5D).5p           6P*  </t>
  </si>
  <si>
    <t xml:space="preserve">  92         :     1  3d4.(5D).5p           4D*  </t>
  </si>
  <si>
    <t xml:space="preserve">  61         :    32  3d4.(5D).5p           6P*  </t>
  </si>
  <si>
    <t xml:space="preserve">  52         :    37  3d4.(5D).5p           6P*  </t>
  </si>
  <si>
    <t xml:space="preserve">  96         :     1  3d4.(5D).5p           6F*  </t>
  </si>
  <si>
    <t>6P*</t>
  </si>
  <si>
    <t xml:space="preserve">  81         :    17  3d4.(5D).5p           6D*  </t>
  </si>
  <si>
    <t xml:space="preserve">  58         :    34  3d4.(5D).5p           6D*  </t>
  </si>
  <si>
    <t xml:space="preserve">  61         :    26  3d4.(5D).5p           6D*  </t>
  </si>
  <si>
    <t>w 4S*</t>
  </si>
  <si>
    <t xml:space="preserve">  49         :    22  3d4.(3P1).4p          4S*  </t>
  </si>
  <si>
    <t>s 4F*</t>
  </si>
  <si>
    <t xml:space="preserve">  71         :    17  3d3.4s.(5F).5p        4F*  </t>
  </si>
  <si>
    <t xml:space="preserve">  69         :    17  3d3.4s.(5F).5p        4F*  </t>
  </si>
  <si>
    <t>q 4D*</t>
  </si>
  <si>
    <t xml:space="preserve">  21         :    45  3d3.4s.(5F).5p        4D*  </t>
  </si>
  <si>
    <t xml:space="preserve">  20         :    44  3d3.4s.(5F).5p        4D*  </t>
  </si>
  <si>
    <t xml:space="preserve">  20         :    42  3d3.4s.(5F).5p        4D*  </t>
  </si>
  <si>
    <t xml:space="preserve">  20         :    40  3d3.4s.(5F).5p        4D*  </t>
  </si>
  <si>
    <t>3d3.4s.(5F).5p</t>
  </si>
  <si>
    <t>6G*</t>
  </si>
  <si>
    <t xml:space="preserve">  96         :     1  3d3.4s.(5F).5p        6F*  </t>
  </si>
  <si>
    <t xml:space="preserve">  94         :     2  3d3.4s.(5F).5p        6F*  </t>
  </si>
  <si>
    <t>u 4P*</t>
  </si>
  <si>
    <t xml:space="preserve">  48         :    35  3d4.(3D).4p           4P*  </t>
  </si>
  <si>
    <t xml:space="preserve">  50         :    36  3d4.(3D).4p           4P*  </t>
  </si>
  <si>
    <t>3d3.4s.(5F).4d</t>
  </si>
  <si>
    <t xml:space="preserve">  62         :    19  3d3.4s.(5F).4d        6F   </t>
  </si>
  <si>
    <t xml:space="preserve">  50         :    19  3d3.4s.(5F).4d        6F   </t>
  </si>
  <si>
    <t xml:space="preserve">  64         :     7  3d3.4s.(5F).4d        6P   </t>
  </si>
  <si>
    <t xml:space="preserve">  61         :    17  3d3.4s.(5F).4d        6P   </t>
  </si>
  <si>
    <t xml:space="preserve">  86         :     9  3d3.4s.(5F).5p        6D*  </t>
  </si>
  <si>
    <t xml:space="preserve">  83         :    15  3d3.4s.(5F).5p        6D*  </t>
  </si>
  <si>
    <t xml:space="preserve">  81         :    13  3d3.4s.(5F).5p        6D*  </t>
  </si>
  <si>
    <t xml:space="preserve">  83         :     7  3d3.4s.(5F).5p        6D*  </t>
  </si>
  <si>
    <t xml:space="preserve">  86         :     6  3d3.4s.(5F).5p        6D*  </t>
  </si>
  <si>
    <t xml:space="preserve">  98         :     1  3d3.4s.(5F).5p        6G*  </t>
  </si>
  <si>
    <t>e 6H</t>
  </si>
  <si>
    <t xml:space="preserve">  96         :     2  3d3.4s.(5F).4d        6G   </t>
  </si>
  <si>
    <t xml:space="preserve">  94         :     4  3d3.4s.(5F).4d        6G   </t>
  </si>
  <si>
    <t xml:space="preserve">  90         :     5  3d3.4s.(5F).4d        6G   </t>
  </si>
  <si>
    <t xml:space="preserve">  98         :     1  3d3.4s.(5F).5d        6H   </t>
  </si>
  <si>
    <t xml:space="preserve">  88         :     8  3d3.4s.(5F).5p        6F*  </t>
  </si>
  <si>
    <t xml:space="preserve">  79         :    14  3d3.4s.(5F).5p        6F*  </t>
  </si>
  <si>
    <t xml:space="preserve">  81         :    12  3d3.4s.(5F).5p        6F*  </t>
  </si>
  <si>
    <t xml:space="preserve">  64         :    12  3d3.4s.(5F).5p        6F*  </t>
  </si>
  <si>
    <t xml:space="preserve">  92         :     6  3d3.4s.(5F).5p        6F*  </t>
  </si>
  <si>
    <t>f 6P</t>
  </si>
  <si>
    <t xml:space="preserve">  92         :     3  3d4.(5D).4d           6P   </t>
  </si>
  <si>
    <t xml:space="preserve">  86         :     5  3d3.4s.(5F).4d        4D   </t>
  </si>
  <si>
    <t xml:space="preserve">  79         :    14  3d3.4s.(5F).4d        4D   </t>
  </si>
  <si>
    <t>f 6G</t>
  </si>
  <si>
    <t>0.38?</t>
  </si>
  <si>
    <t xml:space="preserve">  69         :    17  3d3.4s.(5F).4d        4D   </t>
  </si>
  <si>
    <t xml:space="preserve">  66         :    23  3d3.4s.(5F).4d        6F   </t>
  </si>
  <si>
    <t xml:space="preserve">  61         :    34  3d3.4s.(5F).4d        6F   </t>
  </si>
  <si>
    <t xml:space="preserve">  56         :    37  3d3.4s.(5F).4d        6F   </t>
  </si>
  <si>
    <t xml:space="preserve">  55         :    40  3d3.4s.(5F).4d        6F   </t>
  </si>
  <si>
    <t xml:space="preserve">  92         :     4  3d3.4s.(5F).4d        6H   </t>
  </si>
  <si>
    <t>6F</t>
  </si>
  <si>
    <t xml:space="preserve">  77         :    17  3d3.4s.(5F).4d        4D   </t>
  </si>
  <si>
    <t xml:space="preserve">  71         :    17  3d3.4s.(5F).4d        6G   </t>
  </si>
  <si>
    <t xml:space="preserve">  66         :    26  3d3.4s.(5F).4d        6G   </t>
  </si>
  <si>
    <t xml:space="preserve">  62         :    30  3d3.4s.(5F).4d        6G   </t>
  </si>
  <si>
    <t xml:space="preserve">  59         :    34  3d3.4s.(5F).4d        6G   </t>
  </si>
  <si>
    <t xml:space="preserve">  56         :    37  3d3.4s.(5F).4d        6G   </t>
  </si>
  <si>
    <t>3d4.(1G2).4p</t>
  </si>
  <si>
    <t>t 2F*</t>
  </si>
  <si>
    <t>1.04?</t>
  </si>
  <si>
    <t xml:space="preserve">  45         :    21  3d4.(3F2).4p          2F*  </t>
  </si>
  <si>
    <t xml:space="preserve">  47         :    22  3d4.(3F2).4p          2F*  </t>
  </si>
  <si>
    <t xml:space="preserve">  79         :    10  3d3.(4F).4p2.(1D)     4H   </t>
  </si>
  <si>
    <t xml:space="preserve">  75         :    11  3d3.(4F).4p2.(1D)     4H   </t>
  </si>
  <si>
    <t xml:space="preserve">  82         :    11  3d3.(4F).4p2.(1D)     4H   </t>
  </si>
  <si>
    <t xml:space="preserve">  64         :    17  3d4.(5D).4d           4P   </t>
  </si>
  <si>
    <t xml:space="preserve">  55         :    24  3d4.(5D).4d           4P   </t>
  </si>
  <si>
    <t xml:space="preserve">  34         :    26  3d4.(5D).4d           4P   </t>
  </si>
  <si>
    <t>3d3.(4F).4s.(3F).5s</t>
  </si>
  <si>
    <t>e 2F</t>
  </si>
  <si>
    <t xml:space="preserve">  96         :     3  3d3.(4F).4s.(3F).5s   4F   </t>
  </si>
  <si>
    <t xml:space="preserve">  88         :     8  3d3.(4F).4s.(3F).5s   4F   </t>
  </si>
  <si>
    <t xml:space="preserve">  69         :    11  3d3.4s.(5F).5p        4F*  </t>
  </si>
  <si>
    <t xml:space="preserve">  69         :    10  3d3.4s.(5F).5p        4F*  </t>
  </si>
  <si>
    <t xml:space="preserve">  56         :    17  3d3.4s.(5F).5p        6D*  </t>
  </si>
  <si>
    <t xml:space="preserve">  67         :    10  3d3.4s.(5F).5p        4F*  </t>
  </si>
  <si>
    <t>t 2H*</t>
  </si>
  <si>
    <t xml:space="preserve">  65         :    14  3d4.(3H).4p           2H*  </t>
  </si>
  <si>
    <t>1.06?</t>
  </si>
  <si>
    <t xml:space="preserve">  53         :    15  3d4.(1I).4p           2I*  </t>
  </si>
  <si>
    <t xml:space="preserve">  68         :     7  3d3.(4F).4p2.(1D)     4F   </t>
  </si>
  <si>
    <t xml:space="preserve">  76         :     8  3d3.(4F).4p2.(1D)     4F   </t>
  </si>
  <si>
    <t xml:space="preserve">  58         :    12  3d4.(5D).4d           4D   </t>
  </si>
  <si>
    <t xml:space="preserve">  69         :     7  3d3.(4F).4p2.(1D)     4F   </t>
  </si>
  <si>
    <t xml:space="preserve">  49         :    29  3d4.(5D).4d           4G   </t>
  </si>
  <si>
    <t xml:space="preserve">  52         :    24  3d4.(5D).4d           4G   </t>
  </si>
  <si>
    <t xml:space="preserve">  58         :    19  3d4.(5D).4d           4G   </t>
  </si>
  <si>
    <t xml:space="preserve">  68         :    14  3d4.(5D).4d           4G   </t>
  </si>
  <si>
    <t>2I*</t>
  </si>
  <si>
    <t xml:space="preserve">  74         :    11  3d3.(2H).4s.4p.(1P*)  2I*  </t>
  </si>
  <si>
    <t xml:space="preserve">  56         :     9  3d3.(2H).4s.4p.(1P*)  2I*  </t>
  </si>
  <si>
    <t>s 2G*</t>
  </si>
  <si>
    <t xml:space="preserve">  52         :     7  3d4.(3F2).4p          2G*  </t>
  </si>
  <si>
    <t xml:space="preserve">  52         :     8  3d4.(3G).4p           2G*  </t>
  </si>
  <si>
    <t>p 4D*</t>
  </si>
  <si>
    <t xml:space="preserve">  37         :    25  3d3.(4P).4s.4p.(1P*)  4D*  </t>
  </si>
  <si>
    <t xml:space="preserve">  37         :    24  3d3.(4P).4s.4p.(1P*)  4D*  </t>
  </si>
  <si>
    <t>1.37?</t>
  </si>
  <si>
    <t xml:space="preserve">  34         :    22  3d3.(4P).4s.4p.(1P*)  4D*  </t>
  </si>
  <si>
    <t xml:space="preserve">  38         :    27  3d3.(4P).4s.4p.(1P*)  4D*  </t>
  </si>
  <si>
    <t xml:space="preserve">  88         :     5  3d4.(5D).4d           4F   </t>
  </si>
  <si>
    <t xml:space="preserve">  83         :     5  3d4.(5D).4d           4F   </t>
  </si>
  <si>
    <t xml:space="preserve">  77         :    10  3d3.(4F).4s.(3F).5s   2F   </t>
  </si>
  <si>
    <t xml:space="preserve">  84         :     7  3d4.(5D).4d           4F   </t>
  </si>
  <si>
    <t>g 6D</t>
  </si>
  <si>
    <t xml:space="preserve">                                                 </t>
  </si>
  <si>
    <t>1.55?</t>
  </si>
  <si>
    <t xml:space="preserve">  23         :    29  3d3.(2F).4s.4p.(3P*)  4G*  </t>
  </si>
  <si>
    <t xml:space="preserve">  20         :    25  3d3.(2F).4s.4p.(3P*)  4G*  </t>
  </si>
  <si>
    <t xml:space="preserve">  22         :    38  3d3.(2F).4s.4p.(3P*)  4G*  </t>
  </si>
  <si>
    <t xml:space="preserve">  19         :    58  3d3.(2F).4s.4p.(3P*)  4G*  </t>
  </si>
  <si>
    <t>q 4F*</t>
  </si>
  <si>
    <t>3d3.(4F).4s.5p</t>
  </si>
  <si>
    <t xml:space="preserve">  29         :    22  3d2.(3F).4s2.4p       4F*  </t>
  </si>
  <si>
    <t>45159o</t>
  </si>
  <si>
    <t>45175o</t>
  </si>
  <si>
    <t>r 2G*</t>
  </si>
  <si>
    <t>45204o</t>
  </si>
  <si>
    <t>45233o</t>
  </si>
  <si>
    <t>45248o</t>
  </si>
  <si>
    <t>45361o</t>
  </si>
  <si>
    <t>45575o</t>
  </si>
  <si>
    <t>3d3.(2F).4s.4p.(3P*)</t>
  </si>
  <si>
    <t>p 4F*</t>
  </si>
  <si>
    <t xml:space="preserve">  14         :    12  3d3.(2F).4s.4p.(3P*)  2D*  </t>
  </si>
  <si>
    <t xml:space="preserve">  46         :    14  3d3.4s.(5F).5p        4F*  </t>
  </si>
  <si>
    <t xml:space="preserve">  27         :    21  3d3.4s.(5F).5p        4F*  </t>
  </si>
  <si>
    <t xml:space="preserve">  58         :     8  3d4.(3G).4p           4F*  </t>
  </si>
  <si>
    <t>45654o</t>
  </si>
  <si>
    <t>o 4D*</t>
  </si>
  <si>
    <t xml:space="preserve">  22         :    24  3d4.(3D).4p           4D*  </t>
  </si>
  <si>
    <t>0.96?</t>
  </si>
  <si>
    <t xml:space="preserve">  23         :    22  3d4.(3D).4p           4D*  </t>
  </si>
  <si>
    <t xml:space="preserve">  26         :    18  3d4.(3D).4p           4D*  </t>
  </si>
  <si>
    <t xml:space="preserve">  28         :    18  3d4.(5D).5p           4D*  </t>
  </si>
  <si>
    <t>3d4.(5D).6s</t>
  </si>
  <si>
    <t>6D</t>
  </si>
  <si>
    <t xml:space="preserve">  64         :    32  3d3.4s.(5F).4d        6D   </t>
  </si>
  <si>
    <t xml:space="preserve">  62         :    31  3d3.4s.(5F).4d        6D   </t>
  </si>
  <si>
    <t xml:space="preserve">  64         :    30  3d3.4s.(5F).4d        6D   </t>
  </si>
  <si>
    <t xml:space="preserve">  66         :    29  3d3.4s.(5F).4d        6D   </t>
  </si>
  <si>
    <t xml:space="preserve">  88         :     8  3d3.4s.(5F).4d        4D   </t>
  </si>
  <si>
    <t>r 4G*</t>
  </si>
  <si>
    <t xml:space="preserve">  58         :    18  3d3.4s.(5F).5p        4G*  </t>
  </si>
  <si>
    <t xml:space="preserve">  50         :    22  3d3.4s.(5F).5p        4G*  </t>
  </si>
  <si>
    <t xml:space="preserve">  38         :    22  3d3.4s.(5F).5p        4G*  </t>
  </si>
  <si>
    <t xml:space="preserve">  58         :    19  3d3.4s.(5F).5p        4G*  </t>
  </si>
  <si>
    <t xml:space="preserve">  67         :     8  3d4.(3D).4p           4D*  </t>
  </si>
  <si>
    <t xml:space="preserve">  50         :     4  3d4.(3D).4p           4P*  </t>
  </si>
  <si>
    <t xml:space="preserve">  61         :     6  3d4.(3D).4p           4P*  </t>
  </si>
  <si>
    <t>t 4P*</t>
  </si>
  <si>
    <t xml:space="preserve">  37         :    32  3d3.(4P).4s.4p.(1P*)  4P*  </t>
  </si>
  <si>
    <t xml:space="preserve">  20         :    17  3d3.(2F).4s.4p.(3P*)  4D*  </t>
  </si>
  <si>
    <t xml:space="preserve">  20         :    25  3d4.(5D).4f           4P*  </t>
  </si>
  <si>
    <t>s 2F*</t>
  </si>
  <si>
    <t xml:space="preserve">  27         :    23  3d4.(1D2).4s          2F*  </t>
  </si>
  <si>
    <t xml:space="preserve">  20         :    19  3d4.(1D2).4s          2F*  </t>
  </si>
  <si>
    <t>3d3.(2P).4s.4p.(1P*)</t>
  </si>
  <si>
    <t xml:space="preserve">  29         :     9  3d3.(2D2).4s.4p.(1P*) 2P*  </t>
  </si>
  <si>
    <t xml:space="preserve">  28         :     9  3d4.(3D).4p           2P*  </t>
  </si>
  <si>
    <t>47394e</t>
  </si>
  <si>
    <t>47531e</t>
  </si>
  <si>
    <t>3d3.(2G).4s.4p.(1P*)</t>
  </si>
  <si>
    <t>1.01?</t>
  </si>
  <si>
    <t xml:space="preserve">  23         :    17  3d4.(1I).4p           2H*  </t>
  </si>
  <si>
    <t xml:space="preserve">  25         :    18  3d4.(1I).4p           2H*  </t>
  </si>
  <si>
    <t>47717e</t>
  </si>
  <si>
    <t>3d2.(3F).4s2.4p</t>
  </si>
  <si>
    <t>o 4F*</t>
  </si>
  <si>
    <t xml:space="preserve">  38         :    43  3d3.(4F).4s.(3F).5p   4F*  </t>
  </si>
  <si>
    <t xml:space="preserve">  37         :    41  3d3.(4F).4s.(3F).5p   4F*  </t>
  </si>
  <si>
    <t xml:space="preserve">  38         :    44  3d3.(4F).4s.(3F).5p   4F*  </t>
  </si>
  <si>
    <t>47946e</t>
  </si>
  <si>
    <t>q 2G*</t>
  </si>
  <si>
    <t xml:space="preserve">  43         :    14  3d3.(2H).4s.4p.(3P*)  2G*  </t>
  </si>
  <si>
    <t xml:space="preserve">  42         :    16  3d3.(2H).4s.4p.(3P*)  2G*  </t>
  </si>
  <si>
    <t>v 2S*</t>
  </si>
  <si>
    <t xml:space="preserve">  59         :    14  3d4.(3P2).4p          2S*  </t>
  </si>
  <si>
    <t>n 4D*</t>
  </si>
  <si>
    <t xml:space="preserve">  41         :    21  3d3.4s.(3F).5p        4D*  </t>
  </si>
  <si>
    <t xml:space="preserve">  40         :    20  3d3.4s.(3F).5p        4D*  </t>
  </si>
  <si>
    <t xml:space="preserve">  44         :    22  3d3.(4F).4s.(3F).5p   4D*  </t>
  </si>
  <si>
    <t>49506e</t>
  </si>
  <si>
    <t>49547e</t>
  </si>
  <si>
    <t>49614e</t>
  </si>
  <si>
    <t>t 2D*</t>
  </si>
  <si>
    <t xml:space="preserve">  23         :    25  3d3.4s.(3F).5p        2D*  </t>
  </si>
  <si>
    <t xml:space="preserve">  21         :    44  3d3.4s.(3F).5p        2D*  </t>
  </si>
  <si>
    <t>49705e</t>
  </si>
  <si>
    <t>3d3.4s.(5F).5d</t>
  </si>
  <si>
    <t>f 6H</t>
  </si>
  <si>
    <t xml:space="preserve">  74         :    19  3d3.4s.(5F).5d        6G   </t>
  </si>
  <si>
    <t xml:space="preserve">  72         :    21  3d3.4s.(5F).5d        6G   </t>
  </si>
  <si>
    <t xml:space="preserve">  76         :    18  3d3.4s.(5F).5d        6G   </t>
  </si>
  <si>
    <t xml:space="preserve">  85         :    11  3d3.4s.(5F).5d        6G   </t>
  </si>
  <si>
    <t xml:space="preserve">  98         :     1  3d3.4s.(5F).4d        6H   </t>
  </si>
  <si>
    <t>49818e</t>
  </si>
  <si>
    <t>3d3.4s.(5F).4d?</t>
  </si>
  <si>
    <t>g 6G?</t>
  </si>
  <si>
    <t>L7185c178</t>
  </si>
  <si>
    <t>3d3.(2H).4s.4p.(1P*)</t>
  </si>
  <si>
    <t>x 2I*</t>
  </si>
  <si>
    <t xml:space="preserve">  74         :    14  3d4.(1I).4p           2I*  </t>
  </si>
  <si>
    <t xml:space="preserve">  74         :    13  3d4.(1I).4p           2I*  </t>
  </si>
  <si>
    <t>50223o</t>
  </si>
  <si>
    <t>50370o</t>
  </si>
  <si>
    <t>50403o</t>
  </si>
  <si>
    <t>r 2F*</t>
  </si>
  <si>
    <t>50555o</t>
  </si>
  <si>
    <t>3d3.4p2?</t>
  </si>
  <si>
    <t>h 6G?</t>
  </si>
  <si>
    <t>52774o</t>
  </si>
  <si>
    <t>p 2G*</t>
  </si>
  <si>
    <t>52947o</t>
  </si>
  <si>
    <t>V II (3d4 5D&lt;0&gt;)</t>
  </si>
  <si>
    <t>L17712,L20010</t>
  </si>
  <si>
    <t>s 2P*?</t>
  </si>
  <si>
    <t>11/2</t>
  </si>
  <si>
    <t>3d5.(6S).4s</t>
  </si>
  <si>
    <t>a 7S</t>
  </si>
  <si>
    <t>L18327,L7185</t>
  </si>
  <si>
    <t>a 5S</t>
  </si>
  <si>
    <t>3d4.4s2</t>
  </si>
  <si>
    <t xml:space="preserve">                                                     </t>
  </si>
  <si>
    <t>L18327</t>
  </si>
  <si>
    <t>3d5.(4G).4s</t>
  </si>
  <si>
    <t>a 5G</t>
  </si>
  <si>
    <t>3d5.(4P).4s</t>
  </si>
  <si>
    <t>3d5.(6S).4p</t>
  </si>
  <si>
    <t xml:space="preserve">  67             :    33  3d4.(5D).4s.4p.(3P*)  7P*  </t>
  </si>
  <si>
    <t xml:space="preserve">  67             :    31  3d4.(5D).4s.4p.(3P*)  7P*  </t>
  </si>
  <si>
    <t>3d5.(4D).4s</t>
  </si>
  <si>
    <t>b 5D</t>
  </si>
  <si>
    <t>3d4.(5D).4s.4p.(3P*)</t>
  </si>
  <si>
    <t>y 7P*</t>
  </si>
  <si>
    <t xml:space="preserve">  66             :    33  3d5.(6S).4p           7P*  </t>
  </si>
  <si>
    <t xml:space="preserve">  67             :    32  3d5.(6S).4p           7P*  </t>
  </si>
  <si>
    <t>3d5.(2D3).4s</t>
  </si>
  <si>
    <t xml:space="preserve">  56             :    18  3d5.(2D1).4s          3D   </t>
  </si>
  <si>
    <t xml:space="preserve">  50             :    24  3d5.(4F).4s           5F   </t>
  </si>
  <si>
    <t xml:space="preserve">  45             :    41  3d5.(4F).4s           5F   </t>
  </si>
  <si>
    <t>3d5.(2I).4s</t>
  </si>
  <si>
    <t>a 3I</t>
  </si>
  <si>
    <t>3d5.(4F).4s</t>
  </si>
  <si>
    <t xml:space="preserve">  59             :    31  3d5.(2D3).4s          3D   </t>
  </si>
  <si>
    <t xml:space="preserve">  74             :    12  3d5.(2D3).4s          3D   </t>
  </si>
  <si>
    <t xml:space="preserve">  88             :     6  3d5.(2D3).4s          3D   </t>
  </si>
  <si>
    <t>a 1I</t>
  </si>
  <si>
    <t>3d5.(2F1).4s</t>
  </si>
  <si>
    <t xml:space="preserve">  79             :    14  3d5.(2D3).4s          3D   </t>
  </si>
  <si>
    <t xml:space="preserve">  83             :    13  3d5.(2D3).4s          3D   </t>
  </si>
  <si>
    <t xml:space="preserve">  89             :     8  3d4.(5D).4s.4p.(3P*)  3P*  </t>
  </si>
  <si>
    <t xml:space="preserve">  88             :     8  3d4.(5D).4s.4p.(3P*)  5D*  </t>
  </si>
  <si>
    <t>b 1I</t>
  </si>
  <si>
    <t>c 3D</t>
  </si>
  <si>
    <t>3d6</t>
  </si>
  <si>
    <t>c 5D</t>
  </si>
  <si>
    <t>3d5.(2H).4s</t>
  </si>
  <si>
    <t>3d5.(2F2).4s</t>
  </si>
  <si>
    <t>3d5.(6S).5s</t>
  </si>
  <si>
    <t>e 7S</t>
  </si>
  <si>
    <t>3d5.(2G2).4s</t>
  </si>
  <si>
    <t>c 3G</t>
  </si>
  <si>
    <t>3d4.(5D).4s.4p.(1P*)</t>
  </si>
  <si>
    <t xml:space="preserve">  84             :    12  3d5.(4G).4p           5F*  </t>
  </si>
  <si>
    <t xml:space="preserve">  83             :    12  3d5.(4G).4p           5F*  </t>
  </si>
  <si>
    <t xml:space="preserve">  82             :    13  3d5.(4G).4p           5F*  </t>
  </si>
  <si>
    <t xml:space="preserve">  82             :    14  3d5.(4G).4p           5F*  </t>
  </si>
  <si>
    <t xml:space="preserve">  68             :     7  3d5.(4P).4p           5P*  </t>
  </si>
  <si>
    <t xml:space="preserve">  56             :     7  3d5.(4P).4p           5P*  </t>
  </si>
  <si>
    <t xml:space="preserve">  55             :     8  3d5.(4P).4p           5P*  </t>
  </si>
  <si>
    <t xml:space="preserve">  52             :    14  3d5.(4P).4p           5D*  </t>
  </si>
  <si>
    <t xml:space="preserve">  54             :    14  3d5.(4P).4p           5D*  </t>
  </si>
  <si>
    <t xml:space="preserve">  56             :    13  3d5.(4P).4p           5D*  </t>
  </si>
  <si>
    <t xml:space="preserve">  58             :    13  3d5.(4P).4p           5D*  </t>
  </si>
  <si>
    <t xml:space="preserve">  62             :    14  3d5.(4P).4p           5D*  </t>
  </si>
  <si>
    <t>3d4.(3H).4s.4p.(3P*)</t>
  </si>
  <si>
    <t>z 5H*</t>
  </si>
  <si>
    <t xml:space="preserve">  61             :    20  3d5.(4G).4p           5H*  </t>
  </si>
  <si>
    <t xml:space="preserve">  55             :    19  3d5.(4G).4p           5H*  </t>
  </si>
  <si>
    <t xml:space="preserve">  48             :    17  3d5.(4G).4p           5H*  </t>
  </si>
  <si>
    <t xml:space="preserve">  38             :    25  3d5.(4G).4p           5G*  </t>
  </si>
  <si>
    <t xml:space="preserve">  65             :    24  3d5.(4G).4p           5H*  </t>
  </si>
  <si>
    <t>3d4.(3P1).4s.4p.(3P*)</t>
  </si>
  <si>
    <t xml:space="preserve">  49             :    26  3d4.(5D).4s.4p.(1P*)  5D*  </t>
  </si>
  <si>
    <t xml:space="preserve">  47             :    26  3d4.(5D).4s.4p.(1P*)  5D*  </t>
  </si>
  <si>
    <t xml:space="preserve">  43             :    21  3d4.(5D).4s.4p.(1P*)  5D*  </t>
  </si>
  <si>
    <t xml:space="preserve">  40             :    22  3d4.(5D).4s.4p.(1P*)  5D*  </t>
  </si>
  <si>
    <t xml:space="preserve">  45             :    20  3d4.(5D).4s.4p.(1P*)  5D*  </t>
  </si>
  <si>
    <t>3d5.(6S).5p</t>
  </si>
  <si>
    <t>x 7P*</t>
  </si>
  <si>
    <t>3d5.(6S).4d</t>
  </si>
  <si>
    <t>3d5.(4G).4p</t>
  </si>
  <si>
    <t xml:space="preserve">  61             :    20  3d4.(3H).4s.4p.(3P*)  5G*  </t>
  </si>
  <si>
    <t xml:space="preserve">  57             :    19  3d4.(3H).4s.4p.(3P*)  5G*  </t>
  </si>
  <si>
    <t xml:space="preserve">  53             :    18  3d4.(3H).4s.4p.(3P*)  5G*  </t>
  </si>
  <si>
    <t xml:space="preserve">  47             :    16  3d4.(3H).4s.4p.(3P*)  5G*  </t>
  </si>
  <si>
    <t xml:space="preserve">  37             :    27  3d4.(3H).4s.4p.(3P*)  5H*  </t>
  </si>
  <si>
    <t>3d5.(4P).4p</t>
  </si>
  <si>
    <t xml:space="preserve">  46             :    46  3d4.(3P1).4s.4p.(3P*) 5S*  </t>
  </si>
  <si>
    <t>w 5P*</t>
  </si>
  <si>
    <t>z 5I*</t>
  </si>
  <si>
    <t>3d4.(3F1).4s.4p.(3P*)</t>
  </si>
  <si>
    <t xml:space="preserve">  68             :    18  3d4.(3F1).4s.4p.(3P*) 5F*  </t>
  </si>
  <si>
    <t xml:space="preserve">  46             :    29  3d4.(3F1).4s.4p.(3P*) 5F*  </t>
  </si>
  <si>
    <t xml:space="preserve">  85             :     5  3d4.(3G).4s.4p.(3P*)  5G*  </t>
  </si>
  <si>
    <t>v 5P*</t>
  </si>
  <si>
    <t xml:space="preserve">  78             :     8  3d5.(4D).4p           5P*  </t>
  </si>
  <si>
    <t xml:space="preserve">  76             :     9  3d5.(4D).4p           5P*  </t>
  </si>
  <si>
    <t xml:space="preserve">  70             :    13  3d5.(4D).4p           5P*  </t>
  </si>
  <si>
    <t xml:space="preserve">  66             :    28  3d5.(4G).4p           5F*  </t>
  </si>
  <si>
    <t xml:space="preserve">  63             :    27  3d5.(4G).4p           5F*  </t>
  </si>
  <si>
    <t xml:space="preserve">  58             :    26  3d5.(4G).4p           5F*  </t>
  </si>
  <si>
    <t xml:space="preserve">  50             :    23  3d5.(4G).4p           5F*  </t>
  </si>
  <si>
    <t xml:space="preserve">  37  5G*        :    34                        5F*  </t>
  </si>
  <si>
    <t xml:space="preserve">  68             :    16  3d5.(4G).4p           5H*  </t>
  </si>
  <si>
    <t xml:space="preserve">  49             :    32  3d5.(4G).4p           5H*  </t>
  </si>
  <si>
    <t xml:space="preserve">  59             :    25  3d5.(4G).4p           5H*  </t>
  </si>
  <si>
    <t>y 5H*</t>
  </si>
  <si>
    <t xml:space="preserve">  76             :    22  3d4.(3H).4s.4p.(3P*)  5H*  </t>
  </si>
  <si>
    <t xml:space="preserve">  51             :    28  3d5.(4G).4p           3H*  </t>
  </si>
  <si>
    <t xml:space="preserve">  43             :    38  3d5.(4G).4p           3H*  </t>
  </si>
  <si>
    <t xml:space="preserve">  58             :    20  3d5.(4G).4p           3H*  </t>
  </si>
  <si>
    <t xml:space="preserve">  74             :    25  3d4.(3H).4s.4p.(3P*)  5H*  </t>
  </si>
  <si>
    <t>3d5.(6S).6s</t>
  </si>
  <si>
    <t>f 7S</t>
  </si>
  <si>
    <t xml:space="preserve">  45             :    24  3d4.(3P1).4s.4p.(3P*) 3P*  </t>
  </si>
  <si>
    <t xml:space="preserve">  39             :    31  3d4.(3P1).4s.4p.(3P*) 3P*  </t>
  </si>
  <si>
    <t xml:space="preserve">  49             :    20  3d4.(3P1).4s.4p.(3P*) 3P*  </t>
  </si>
  <si>
    <t xml:space="preserve">  75             :     8  3d4.(3F1).4s.4p.(3P*) 3F*  </t>
  </si>
  <si>
    <t xml:space="preserve">  80             :     8  3d4.(3F1).4s.4p.(3P*) 3F*  </t>
  </si>
  <si>
    <t xml:space="preserve">  83             :     7  3d4.(3F1).4s.4p.(3P*) 3F*  </t>
  </si>
  <si>
    <t>f 5S</t>
  </si>
  <si>
    <t xml:space="preserve">  22             :    19  3d5.(4D).4p           5F*  </t>
  </si>
  <si>
    <t xml:space="preserve">  23             :    14  3d5.(4D).4p           5F*  </t>
  </si>
  <si>
    <t xml:space="preserve">  37             :    15  3d4.(3F1).4s.4p.(3P*) 5D*  </t>
  </si>
  <si>
    <t xml:space="preserve">  40             :    25  3d4.(3P1).4s.4p.(3P*) 5D*  </t>
  </si>
  <si>
    <t xml:space="preserve">  42             :    20  3d4.(3P1).4s.4p.(3P*) 5D*  </t>
  </si>
  <si>
    <t xml:space="preserve">  40             :    22  3d4.(3P1).4s.4p.(3P*) 5D*  </t>
  </si>
  <si>
    <t xml:space="preserve">  36             :    27  3d4.(3P1).4s.4p.(3P*) 5D*  </t>
  </si>
  <si>
    <t xml:space="preserve">  39             :    34  3d4.(3P1).4s.4p.(3P*) 5D*  </t>
  </si>
  <si>
    <t>3d4.4s.5s</t>
  </si>
  <si>
    <t>3d4.(3G).4s.4p.(3P*)</t>
  </si>
  <si>
    <t>w 5F*</t>
  </si>
  <si>
    <t xml:space="preserve">  20             :    18  3d5.(4D).4p           5F*  </t>
  </si>
  <si>
    <t xml:space="preserve">  21             :    18  3d5.(4D).4p           5F*  </t>
  </si>
  <si>
    <t xml:space="preserve">  23             :    22  3d5.(4D).4p           5F*  </t>
  </si>
  <si>
    <t xml:space="preserve">  33             :    30  3d5.(4D).4p           5F*  </t>
  </si>
  <si>
    <t xml:space="preserve">  23             :    24  3d5.(4D).4p           5F*  </t>
  </si>
  <si>
    <t xml:space="preserve">  42             :    20  3d4.(3F1).4s.4p.(3P*) 3G*  </t>
  </si>
  <si>
    <t xml:space="preserve">  40             :    21  3d4.(3F1).4s.4p.(3P*) 3G*  </t>
  </si>
  <si>
    <t xml:space="preserve">  34             :    20  3d5.(4G).4p           3G*  </t>
  </si>
  <si>
    <t>u 5P*</t>
  </si>
  <si>
    <t xml:space="preserve">  47             :    20  3d5.(4D).4p           5P*  </t>
  </si>
  <si>
    <t xml:space="preserve">  51             :    20  3d5.(4D).4p           5P*  </t>
  </si>
  <si>
    <t xml:space="preserve">  55             :    20  3d5.(4D).4p           5P*  </t>
  </si>
  <si>
    <t>x 5G*</t>
  </si>
  <si>
    <t xml:space="preserve">  67             :    15  3d5.(4G).4p           5G*  </t>
  </si>
  <si>
    <t xml:space="preserve">  62             :    14  3d5.(4G).4p           5G*  </t>
  </si>
  <si>
    <t xml:space="preserve">  60             :    15  3d5.(4G).4p           5G*  </t>
  </si>
  <si>
    <t xml:space="preserve">  70             :    19  3d5.(4G).4p           5G*  </t>
  </si>
  <si>
    <t xml:space="preserve">  63             :    16  3d5.(4G).4p           5G*  </t>
  </si>
  <si>
    <t xml:space="preserve">  73             :    12  3d4.(3H).4s.4p.(3P*)  3G*  </t>
  </si>
  <si>
    <t xml:space="preserve">  69             :    16  3d4.(3H).4s.4p.(3P*)  3G*  </t>
  </si>
  <si>
    <t xml:space="preserve">  62             :    24  3d4.(3H).4s.4p.(3P*)  3G*  </t>
  </si>
  <si>
    <t xml:space="preserve">  72             :     8  3d5.(4P).4p           3S*  </t>
  </si>
  <si>
    <t xml:space="preserve">  61             :    28  3d4.(3G).4s.4p.(3P*)  5H*  </t>
  </si>
  <si>
    <t xml:space="preserve">  57             :    34  3d4.(3G).4s.4p.(3P*)  5H*  </t>
  </si>
  <si>
    <t xml:space="preserve">  52             :    40  3d4.(3G).4s.4p.(3P*)  5H*  </t>
  </si>
  <si>
    <t>x 5H*</t>
  </si>
  <si>
    <t xml:space="preserve">  79             :    12  3d4.(3H).4s.4p.(3P*)  5H*  </t>
  </si>
  <si>
    <t xml:space="preserve">  82             :    11  3d4.(3H).4s.4p.(3P*)  5H*  </t>
  </si>
  <si>
    <t xml:space="preserve">  56             :    30  3d4.(3H).4s.4p.(3P*)  3I*  </t>
  </si>
  <si>
    <t xml:space="preserve">  53             :    35  3d4.(3H).4s.4p.(3P*)  3I*  </t>
  </si>
  <si>
    <t xml:space="preserve">  49             :    42  3d4.(3H).4s.4p.(3P*)  3I*  </t>
  </si>
  <si>
    <t>3d4.(5D).4s.5p.(3P*)</t>
  </si>
  <si>
    <t>v 5F*</t>
  </si>
  <si>
    <t>3d5.(6S).6p</t>
  </si>
  <si>
    <t>w 7P*</t>
  </si>
  <si>
    <t>3d5.(6S).5d</t>
  </si>
  <si>
    <t>g 7D</t>
  </si>
  <si>
    <t>v 5D*</t>
  </si>
  <si>
    <t xml:space="preserve">  49             :    26  3d4.(3F1).4s.4p.(3P*) 5D*  </t>
  </si>
  <si>
    <t xml:space="preserve">  46             :    27  3d4.(3F1).4s.4p.(3P*) 5D*  </t>
  </si>
  <si>
    <t xml:space="preserve">  49             :    25  3d4.(3F1).4s.4p.(3P*) 5D*  </t>
  </si>
  <si>
    <t xml:space="preserve">  52             :    23  3d4.(3F1).4s.4p.(3P*) 5D*  </t>
  </si>
  <si>
    <t>u 5F*</t>
  </si>
  <si>
    <t xml:space="preserve">  15             :    15  3d4.(3P1).4s.4p.(3P*) 3P*  </t>
  </si>
  <si>
    <t xml:space="preserve">  35             :    19  3d4.(3F1).4s.4p.(3P*) 5F*  </t>
  </si>
  <si>
    <t xml:space="preserve">  35             :    20  3d4.(3F1).4s.4p.(3P*) 5F*  </t>
  </si>
  <si>
    <t xml:space="preserve">  39             :    25  3d4.(3F1).4s.4p.(3P*) 5F*  </t>
  </si>
  <si>
    <t xml:space="preserve">  39             :    23  3d4.(3F1).4s.4p.(3P*) 5F*  </t>
  </si>
  <si>
    <t xml:space="preserve">  59             :     7  3d5.(4G).4p           5F*  </t>
  </si>
  <si>
    <t xml:space="preserve">  61             :     6  3d5.(4G).4p           5F*  </t>
  </si>
  <si>
    <t xml:space="preserve">  64             :     5  3d5.(4G).4p           5F*  </t>
  </si>
  <si>
    <t xml:space="preserve">  29             :    24  3d5.(4P).4p           3P*  </t>
  </si>
  <si>
    <t xml:space="preserve">  28             :    15  3d5.(4P).4p           3P*  </t>
  </si>
  <si>
    <t xml:space="preserve">  42             :    19  3d5.(4P).4p           3P*  </t>
  </si>
  <si>
    <t xml:space="preserve">  60             :    15  3d4.(3G).4s.4p.(3P*)  3F*  </t>
  </si>
  <si>
    <t xml:space="preserve">  38             :    20  3d5.(4P).4p           3D*  </t>
  </si>
  <si>
    <t xml:space="preserve">  46             :    14  3d5.(4P).4p           3D*  </t>
  </si>
  <si>
    <t xml:space="preserve">  61             :     7  3d5.(4P).4p           3D*  </t>
  </si>
  <si>
    <t>3d5.(6S).7s</t>
  </si>
  <si>
    <t>g 7S</t>
  </si>
  <si>
    <t>g 5S</t>
  </si>
  <si>
    <t xml:space="preserve">  40             :     9  3d4.(3H).4s.4p.(3P*)  3G*  </t>
  </si>
  <si>
    <t xml:space="preserve">  40             :    13  3d4.(3H).4s.4p.(3P*)  3G*  </t>
  </si>
  <si>
    <t xml:space="preserve">  51             :    17  3d4.(3H).4s.4p.(3P*)  3G*  </t>
  </si>
  <si>
    <t>w 5G*</t>
  </si>
  <si>
    <t xml:space="preserve">  65             :    18  3d5.(4G).4p           5G*  </t>
  </si>
  <si>
    <t xml:space="preserve">  53             :    14  3d5.(4G).4p           5G*  </t>
  </si>
  <si>
    <t xml:space="preserve">  63             :    19  3d5.(4G).4p           5G*  </t>
  </si>
  <si>
    <t xml:space="preserve">  70             :    17  3d5.(4G).4p           5G*  </t>
  </si>
  <si>
    <t xml:space="preserve">  73             :    17  3d5.(4G).4p           5G*  </t>
  </si>
  <si>
    <t xml:space="preserve">  73             :    17  3d4.(3P1).4s.4p.(3P*) 3S*  </t>
  </si>
  <si>
    <t>3d5.(4D).4p</t>
  </si>
  <si>
    <t>t 5P*</t>
  </si>
  <si>
    <t xml:space="preserve">  46             :    30  3d5.(4P).4p           3P*  </t>
  </si>
  <si>
    <t xml:space="preserve">  31             :    26  3d5.(4P).4p           3P*  </t>
  </si>
  <si>
    <t xml:space="preserve">  20             :    14  3d5.(4D).4p           5P*  </t>
  </si>
  <si>
    <t xml:space="preserve">  56             :    15  3d4.(3G).4s.4p.(3P*)  3F*  </t>
  </si>
  <si>
    <t xml:space="preserve">  43             :    18  3d4.(3G).4s.4p.(3P*)  3F*  </t>
  </si>
  <si>
    <t xml:space="preserve">  37             :    18  3d4.(3G).4s.4p.(3P*)  3F*  </t>
  </si>
  <si>
    <t xml:space="preserve">  31             :    30  3d5.(4P).4p           5S*  </t>
  </si>
  <si>
    <t>s 5F*</t>
  </si>
  <si>
    <t xml:space="preserve">  44             :    29  3d4.(3G).4s.4p.(3P*)  5F*  </t>
  </si>
  <si>
    <t xml:space="preserve">  43             :    29  3d4.(3G).4s.4p.(3P*)  5F*  </t>
  </si>
  <si>
    <t xml:space="preserve">  30             :    21  3d4.(3G).4s.4p.(3P*)  5F*  </t>
  </si>
  <si>
    <t xml:space="preserve">  46             :    33  3d4.(3G).4s.4p.(3P*)  5F*  </t>
  </si>
  <si>
    <t xml:space="preserve">  66             :    11  3d5.(4P).4p           3D*  </t>
  </si>
  <si>
    <t xml:space="preserve">  57             :    14  3d5.(4P).4p           3D*  </t>
  </si>
  <si>
    <t xml:space="preserve">  51             :    18  3d5.(4P).4p           3D*  </t>
  </si>
  <si>
    <t>3d5.(6S).7p</t>
  </si>
  <si>
    <t>7P*</t>
  </si>
  <si>
    <t>L18327c152</t>
  </si>
  <si>
    <t>u 5D*</t>
  </si>
  <si>
    <t xml:space="preserve">  44             :    15  3d5.(4D).4p           5F*  </t>
  </si>
  <si>
    <t xml:space="preserve">  60             :     7  3d5.(4P).4p           5D*  </t>
  </si>
  <si>
    <t xml:space="preserve">  68             :     8  3d5.(4P).4p           5D*  </t>
  </si>
  <si>
    <t xml:space="preserve">  69             :    10  3d5.(4P).4p           5D*  </t>
  </si>
  <si>
    <t xml:space="preserve">  71             :     9  3d5.(4P).4p           5D*  </t>
  </si>
  <si>
    <t xml:space="preserve">  41             :    27  3d5.(4D).4p           3F*  </t>
  </si>
  <si>
    <t xml:space="preserve">  42             :    26  3d5.(4D).4p           3F*  </t>
  </si>
  <si>
    <t xml:space="preserve">  46             :    23  3d5.(4D).4p           3F*  </t>
  </si>
  <si>
    <t>3d5.(6S).8s</t>
  </si>
  <si>
    <t>h 5S</t>
  </si>
  <si>
    <t xml:space="preserve">  71             :    11  3d4.(3P1).4s.4p.(3P*) 3P*  </t>
  </si>
  <si>
    <t xml:space="preserve">  68             :     8  3d4.(3P1).4s.4p.(3P*) 3P*  </t>
  </si>
  <si>
    <t xml:space="preserve">  45             :    32  3d4.(3P1).4s.4p.(3P*) 1D*  </t>
  </si>
  <si>
    <t xml:space="preserve">  68             :    11  3d5.(2I).4p           1H*  </t>
  </si>
  <si>
    <t>3d5.(6S).8p</t>
  </si>
  <si>
    <t>3d4.(3D).4s.4p.(3P*)</t>
  </si>
  <si>
    <t>t 5D*</t>
  </si>
  <si>
    <t>3d5.(6S).9p</t>
  </si>
  <si>
    <t>L7185,L5413</t>
  </si>
  <si>
    <t>3d4.(1I).4s.4p.(3P*)</t>
  </si>
  <si>
    <t>y 3I*</t>
  </si>
  <si>
    <t xml:space="preserve">  48             :    33  3d5.(2I).4p           3I*  </t>
  </si>
  <si>
    <t xml:space="preserve">  58             :    39  3d5.(2I).4p           3I*  </t>
  </si>
  <si>
    <t xml:space="preserve">  59             :    39  3d5.(2I).4p           3I*  </t>
  </si>
  <si>
    <t xml:space="preserve">  72             :    14  3d4.(3H).4s.4p.(3P*)  3G*  </t>
  </si>
  <si>
    <t>3d5.(6S).10p</t>
  </si>
  <si>
    <t>3d4.(1G1).4s.4p.(3P*)</t>
  </si>
  <si>
    <t xml:space="preserve">  57             :    27  3d5.(2I).4p           3H*  </t>
  </si>
  <si>
    <t xml:space="preserve">  68             :    26  3d5.(2I).4p           3H*  </t>
  </si>
  <si>
    <t xml:space="preserve">  47             :    26  3d5.(2I).4p           3H*  </t>
  </si>
  <si>
    <t>r 5F*</t>
  </si>
  <si>
    <t xml:space="preserve">  85             :     6  3d5.(4D).4p           5F*  </t>
  </si>
  <si>
    <t xml:space="preserve">  84             :     6  3d5.(4D).4p           5F*  </t>
  </si>
  <si>
    <t xml:space="preserve">  83             :     6  3d5.(4D).4p           5F*  </t>
  </si>
  <si>
    <t xml:space="preserve">  81             :     6  3d5.(4D).4p           5F*  </t>
  </si>
  <si>
    <t xml:space="preserve">  85             :     7  3d5.(4D).4p           5F*  </t>
  </si>
  <si>
    <t>3d4.4s.4d</t>
  </si>
  <si>
    <t>e 7G</t>
  </si>
  <si>
    <t>h 7D</t>
  </si>
  <si>
    <t>e 7F</t>
  </si>
  <si>
    <t>3d5.(6S).11p</t>
  </si>
  <si>
    <t>3d5.(6S).12p</t>
  </si>
  <si>
    <t>3d4.4s.5p</t>
  </si>
  <si>
    <t>s 5D*</t>
  </si>
  <si>
    <t>3d5.(6S).13p</t>
  </si>
  <si>
    <t>3d3.(4F).4s2.4p</t>
  </si>
  <si>
    <t xml:space="preserve">  28             :    22  3d5.(4F).4p           3G*  </t>
  </si>
  <si>
    <t xml:space="preserve">  26             :    22  3d5.(4F).4p           3G*  </t>
  </si>
  <si>
    <t xml:space="preserve">  25             :    22  3d5.(4F).4p           3G*  </t>
  </si>
  <si>
    <t>3d5.(6S).14p</t>
  </si>
  <si>
    <t>3d5.(6S).15p</t>
  </si>
  <si>
    <t>s 5P*</t>
  </si>
  <si>
    <t>3d5.(6S).16p</t>
  </si>
  <si>
    <t>3d5.(6S).17p</t>
  </si>
  <si>
    <t>3d5.(6S).18p</t>
  </si>
  <si>
    <t>3d5.(6S).19p</t>
  </si>
  <si>
    <t>q 5F*</t>
  </si>
  <si>
    <t>3d5.(6S).20p</t>
  </si>
  <si>
    <t>3d5.(6S).21p</t>
  </si>
  <si>
    <t>3d5.(6S).22p</t>
  </si>
  <si>
    <t>3d5.(2I).4p</t>
  </si>
  <si>
    <t>z 3K*</t>
  </si>
  <si>
    <t xml:space="preserve">  56             :    42  3d4.(1I).4s.4p.(3P*)  3K*  </t>
  </si>
  <si>
    <t xml:space="preserve">  54             :    46  3d4.(1I).4s.4p.(3P*)  3K*  </t>
  </si>
  <si>
    <t xml:space="preserve">  59             :    41  3d4.(1I).4s.4p.(3P*)  3K*  </t>
  </si>
  <si>
    <t>3d5.(6S).23p</t>
  </si>
  <si>
    <t>3d5.(6S).24p</t>
  </si>
  <si>
    <t>3d5.(6S).25p</t>
  </si>
  <si>
    <t>3d5.(6S).26p</t>
  </si>
  <si>
    <t>3d5.(6S).27p</t>
  </si>
  <si>
    <t>3d5.(6S).28p</t>
  </si>
  <si>
    <t>3d5.(6S).29p</t>
  </si>
  <si>
    <t>3d5.(6S).30p</t>
  </si>
  <si>
    <t>3d5.(6S).31p</t>
  </si>
  <si>
    <t>3d5.(6S).32p</t>
  </si>
  <si>
    <t>3d5.(6S).33p</t>
  </si>
  <si>
    <t>3d5.(6S).34p</t>
  </si>
  <si>
    <t>3d5.(6S).35p</t>
  </si>
  <si>
    <t>3d5.(6S).36p</t>
  </si>
  <si>
    <t>3d5.(6S).37p</t>
  </si>
  <si>
    <t>3d5.(6S).38p</t>
  </si>
  <si>
    <t>Cr II (3d5 6S&lt;5/2&gt;)</t>
  </si>
  <si>
    <t>L7185,L2832</t>
  </si>
  <si>
    <t>g 5D</t>
  </si>
  <si>
    <t>3d4.(3H).4s.4p.(1P*)</t>
  </si>
  <si>
    <t>w 3H*</t>
  </si>
  <si>
    <t xml:space="preserve">  42             :    20  3d5.(2I).4p           3H*  </t>
  </si>
  <si>
    <t xml:space="preserve">  41             :    21  3d5.(2I).4p           3H*  </t>
  </si>
  <si>
    <t xml:space="preserve">  42             :    24  3d5.(2I).4p           3H*  </t>
  </si>
  <si>
    <t>3K*</t>
  </si>
  <si>
    <t xml:space="preserve">  55             :    40  3d5.(2I).4p           3K*  </t>
  </si>
  <si>
    <t>3d5.(4G).5p</t>
  </si>
  <si>
    <t>v 3H*</t>
  </si>
  <si>
    <t xml:space="preserve">  33             :    28  3d5.(2D1).4p          3D*  </t>
  </si>
  <si>
    <t xml:space="preserve">  30             :    26  3d5.(2D1).4p          3D*  </t>
  </si>
  <si>
    <t xml:space="preserve">  30             :    19  3d5.(2D1).4p          3D*  </t>
  </si>
  <si>
    <t>z 1K*</t>
  </si>
  <si>
    <t xml:space="preserve">  79             :    10  3d5.(2I).4p           3K*  </t>
  </si>
  <si>
    <t>3d5.(2D1).4p</t>
  </si>
  <si>
    <t xml:space="preserve">  30             :    20  3d5.(2F1).4p          3F*  </t>
  </si>
  <si>
    <t xml:space="preserve">  22             :    15  3d5.(2F1).4p          3F*  </t>
  </si>
  <si>
    <t xml:space="preserve">  30             :    18  3d5.(2F1).4p          3F*  </t>
  </si>
  <si>
    <t>y 1I*</t>
  </si>
  <si>
    <t xml:space="preserve">  35             :    28  3d4.(1I).4s.4p.(3P*)  3H*  </t>
  </si>
  <si>
    <t>x 3I*</t>
  </si>
  <si>
    <t xml:space="preserve">  29             :    30  3d4.(1I).4s.4p.(3P*)  3I*  </t>
  </si>
  <si>
    <t xml:space="preserve">  34             :    30  3d4.(1I).4s.4p.(3P*)  3I*  </t>
  </si>
  <si>
    <t xml:space="preserve">  39             :    32  3d4.(1I).4s.4p.(3P*)  3I*  </t>
  </si>
  <si>
    <t>u 3H*</t>
  </si>
  <si>
    <t xml:space="preserve">  61             :    12  3d5.(2H).4p           3H*  </t>
  </si>
  <si>
    <t xml:space="preserve">  37             :    37  3d5.(2I).4p           1I*  </t>
  </si>
  <si>
    <t xml:space="preserve">  67             :    12  3d5.(2H).4p           3H*  </t>
  </si>
  <si>
    <t xml:space="preserve">  43             :    12  3d4.(3G).4s.4p.(3P*)  1H*  </t>
  </si>
  <si>
    <t>3d5.(4F).4p</t>
  </si>
  <si>
    <t>v 5G*</t>
  </si>
  <si>
    <t xml:space="preserve">  46             :    44  3d3.(4F).4s2.4p       5G*  </t>
  </si>
  <si>
    <t xml:space="preserve">  43             :    38  3d3.(4F).4s2.4p       5G*  </t>
  </si>
  <si>
    <t xml:space="preserve">  51             :    40  3d3.(4F).4s2.4p       5G*  </t>
  </si>
  <si>
    <t xml:space="preserve">  55             :    38  3d3.(4F).4s2.4p       5G*  </t>
  </si>
  <si>
    <t xml:space="preserve">  59             :    34  3d3.(4F).4s2.4p       5G*  </t>
  </si>
  <si>
    <t xml:space="preserve">  42             :    18  3d5.(2D1).4p          3P*  </t>
  </si>
  <si>
    <t xml:space="preserve">  40             :    10  3d4.(3D).4s.4p.(3P*)  1P*  </t>
  </si>
  <si>
    <t xml:space="preserve">  56             :    19  3d5.(2D1).4p          3P*  </t>
  </si>
  <si>
    <t>3d4.(3F1).4s.4p.(1P*)</t>
  </si>
  <si>
    <t xml:space="preserve">  21             :    16  3d4.(3D).4s.4p.(3P*)  3F*  </t>
  </si>
  <si>
    <t>u 3G*</t>
  </si>
  <si>
    <t xml:space="preserve">  24             :    15  3d4.(3H).4s.4p.(3P*)  3G*  </t>
  </si>
  <si>
    <t xml:space="preserve">  25             :    23  3d4.(3H).4s.4p.(3P*)  3G*  </t>
  </si>
  <si>
    <t>3d4.(1S1).4s.4p.(3P*)</t>
  </si>
  <si>
    <t xml:space="preserve">  43             :    22  3d5.(2D1).4p          3P*  </t>
  </si>
  <si>
    <t xml:space="preserve">  40             :    21  3d5.(2D1).4p          3P*  </t>
  </si>
  <si>
    <t xml:space="preserve">  40             :    22  3d5.(2D1).4p          3P*  </t>
  </si>
  <si>
    <t>p 5F*</t>
  </si>
  <si>
    <t xml:space="preserve">  24             :    14  3d3.(4F).4s2.4p       3F*  </t>
  </si>
  <si>
    <t xml:space="preserve">  10  3F*        :    10  3d3.(4F).4s2.4p       3F*  </t>
  </si>
  <si>
    <t xml:space="preserve">  16  3F*        :    13  3d3.(4F).4s2.4p       3F*  </t>
  </si>
  <si>
    <t>3d5.(4G).5s</t>
  </si>
  <si>
    <t>3d5.(2F1).4p</t>
  </si>
  <si>
    <t>t 3G*</t>
  </si>
  <si>
    <t xml:space="preserve">  40             :    14  3d5.(4F).4p           5F*  </t>
  </si>
  <si>
    <t>L18327c152,L7185</t>
  </si>
  <si>
    <t xml:space="preserve">  21             :    18  3d5.(4F).4p           5F*  </t>
  </si>
  <si>
    <t xml:space="preserve">  58             :    20  3d4.(3F1).4s.4p.(3P*) 3G*  </t>
  </si>
  <si>
    <t>r 5D*</t>
  </si>
  <si>
    <t xml:space="preserve">  26             :    15  3d5.(2D1).4p          3F*  </t>
  </si>
  <si>
    <t xml:space="preserve">  25             :    20  3d5.(2D1).4p          3F*  </t>
  </si>
  <si>
    <t xml:space="preserve">  25             :    23  3d5.(2D1).4p          3F*  </t>
  </si>
  <si>
    <t xml:space="preserve">  33  5D*        :    18  3d5.(4F).4p           3D*  </t>
  </si>
  <si>
    <t xml:space="preserve">  39             :    28  3d4.(3D).4s.4p.(3P*)  3D*  </t>
  </si>
  <si>
    <t xml:space="preserve">  25             :    25  3d4.(3D).4s.4p.(3P*)  3D*  </t>
  </si>
  <si>
    <t>3d5.(2H).4p</t>
  </si>
  <si>
    <t>t 3H*</t>
  </si>
  <si>
    <t xml:space="preserve">  23             :    16  3d5.(2I).4p           3H*  </t>
  </si>
  <si>
    <t xml:space="preserve">  24             :    17  3d5.(2I).4p           3H*  </t>
  </si>
  <si>
    <t xml:space="preserve">  26             :    17  3d5.(2I).4p           3H*  </t>
  </si>
  <si>
    <t>3d5.(4P).5p</t>
  </si>
  <si>
    <t>3d4.4s.(6D).6p</t>
  </si>
  <si>
    <t>7F*</t>
  </si>
  <si>
    <t>L5413</t>
  </si>
  <si>
    <t xml:space="preserve">  46  7D*        :    39                        7P*  </t>
  </si>
  <si>
    <t xml:space="preserve">  51             :    11  3d5.(4F).4p           3F*  </t>
  </si>
  <si>
    <t xml:space="preserve">  46             :     9  3d5.(4F).4p           3F*  </t>
  </si>
  <si>
    <t xml:space="preserve">  50             :     9  3d5.(4F).4p           3F*  </t>
  </si>
  <si>
    <t>7D*</t>
  </si>
  <si>
    <t>w 3I*</t>
  </si>
  <si>
    <t xml:space="preserve">  64             :    16  3d5.(2H).4p           3I*  </t>
  </si>
  <si>
    <t xml:space="preserve">  74             :    13  3d5.(2H).4p           3I*  </t>
  </si>
  <si>
    <t xml:space="preserve">  77             :    13  3d5.(2H).4p           3I*  </t>
  </si>
  <si>
    <t>3d5.(2G1).4p</t>
  </si>
  <si>
    <t xml:space="preserve">  20  3G*        :    13  3d5.(2H).4p           1H*  </t>
  </si>
  <si>
    <t>3d4.(3P1).4s.4p.(1P*)</t>
  </si>
  <si>
    <t xml:space="preserve">  48             :    19  3d4.(3P1).4s.4p.(1P*) 3P*  </t>
  </si>
  <si>
    <t>q 5D*</t>
  </si>
  <si>
    <t>q 3F*</t>
  </si>
  <si>
    <t>v 3I*</t>
  </si>
  <si>
    <t xml:space="preserve">  50             :    16  3d5.(2G1).4p          1H*  </t>
  </si>
  <si>
    <t xml:space="preserve">  74             :    11  3d5.(2G1).4p          3H*  </t>
  </si>
  <si>
    <t xml:space="preserve">  85             :     6  3d5.(2I).4p           3I*  </t>
  </si>
  <si>
    <t>x 1I*</t>
  </si>
  <si>
    <t xml:space="preserve">  49             :    17  3d5.(2G1).4p          3H*  </t>
  </si>
  <si>
    <t>s 3G*</t>
  </si>
  <si>
    <t xml:space="preserve">  30             :    21  3d5.(2H).4p           3I*  </t>
  </si>
  <si>
    <t xml:space="preserve">  40             :     9  3d5.(2H).4p           3G*  </t>
  </si>
  <si>
    <t xml:space="preserve">  33             :    16  3d5.(2F1).4p          1F*  </t>
  </si>
  <si>
    <t xml:space="preserve">  24             :    17  3d5.(2D1).4p          3D*  </t>
  </si>
  <si>
    <t xml:space="preserve">  25             :    24  3d4.(1D1).4s.4p.(3P*) 3D*  </t>
  </si>
  <si>
    <t xml:space="preserve">  29             :    22  3d4.(1D1).4s.4p.(3P*) 3D*  </t>
  </si>
  <si>
    <t>o 5F*</t>
  </si>
  <si>
    <t>3d5.(2F2).4p</t>
  </si>
  <si>
    <t xml:space="preserve">  40             :    21  3d4.(1F).4s.4p.(3P*)  3F*  </t>
  </si>
  <si>
    <t xml:space="preserve">  39             :    24  3d4.(1F).4s.4p.(3P*)  3F*  </t>
  </si>
  <si>
    <t>s 3H*</t>
  </si>
  <si>
    <t xml:space="preserve">  52             :    13  3d4.(3H).4s.4p.(1P*)  3H*  </t>
  </si>
  <si>
    <t xml:space="preserve">  41             :    11  3d4.(3H).4s.4p.(1P*)  3H*  </t>
  </si>
  <si>
    <t xml:space="preserve">  35             :    27  3d5.(2H).4p           1I*  </t>
  </si>
  <si>
    <t>r 5P*</t>
  </si>
  <si>
    <t>r 3G*</t>
  </si>
  <si>
    <t xml:space="preserve">  24             :    19  3d5.(2F2).4p          3G*  </t>
  </si>
  <si>
    <t xml:space="preserve">  19             :    15  3d5.(2F2).4p          3G*  </t>
  </si>
  <si>
    <t xml:space="preserve">  15             :    15  3d5.(2G1).4p          3H*  </t>
  </si>
  <si>
    <t>3d4.(1D1).4s.4p.(3P*)</t>
  </si>
  <si>
    <t>t 3P*</t>
  </si>
  <si>
    <t xml:space="preserve">  77             :     7  3d5.(2D1).4p          3P*  </t>
  </si>
  <si>
    <t xml:space="preserve">  65             :     8  3d5.(2D1).4p          3P*  </t>
  </si>
  <si>
    <t xml:space="preserve">  58             :     8  3d3.(4F).4s2.4p       5F*  </t>
  </si>
  <si>
    <t>q 3G*</t>
  </si>
  <si>
    <t xml:space="preserve">  48             :    15  3d4.(3G).4s.4p.(1P*)  3G*  </t>
  </si>
  <si>
    <t xml:space="preserve">  31             :    15  3d4.(3G).4s.4p.(1P*)  3H*  </t>
  </si>
  <si>
    <t xml:space="preserve">  32             :    20  3d3.(4F).4s2.4p       5F*  </t>
  </si>
  <si>
    <t>3d4.4p2</t>
  </si>
  <si>
    <t>f 7F</t>
  </si>
  <si>
    <t>3d5.(4G).4d</t>
  </si>
  <si>
    <t>f 5G</t>
  </si>
  <si>
    <t>3d4.4s.4p</t>
  </si>
  <si>
    <t>r 3H*</t>
  </si>
  <si>
    <t>q 3H*</t>
  </si>
  <si>
    <t>3d5.4p</t>
  </si>
  <si>
    <t>p 3H*</t>
  </si>
  <si>
    <t>p 3G*</t>
  </si>
  <si>
    <t>3p5.3d5.4s2</t>
  </si>
  <si>
    <t>3d5.4s2</t>
  </si>
  <si>
    <t>3d6.(5D).4s</t>
  </si>
  <si>
    <t>3d5.(6S).4s.4p.(3P*)</t>
  </si>
  <si>
    <t>z 8P*</t>
  </si>
  <si>
    <t xml:space="preserve">  98             :     2  3d5.4s2                4D   </t>
  </si>
  <si>
    <t xml:space="preserve">  96             :     2  3d6.(3P2).4s           4P   </t>
  </si>
  <si>
    <t xml:space="preserve">  96             :     2  3d6.(5D).4s            4D   </t>
  </si>
  <si>
    <t>3d6.(3P2).4s</t>
  </si>
  <si>
    <t xml:space="preserve">  64             :    32  3d6.(3P1).4s           4P   </t>
  </si>
  <si>
    <t>3d6.(3H).4s</t>
  </si>
  <si>
    <t>3d6.(3F2).4s</t>
  </si>
  <si>
    <t xml:space="preserve">  77             :    18  3d6.(3F1).4s           4F   </t>
  </si>
  <si>
    <t xml:space="preserve">  79             :    18  3d6.(3F1).4s           4F   </t>
  </si>
  <si>
    <t xml:space="preserve">  79             :    17  3d6.(3F1).4s           4F   </t>
  </si>
  <si>
    <t>3d5.(6S).4s.4p.(1P*)</t>
  </si>
  <si>
    <t xml:space="preserve">  87             :    11  3d6.(5D).4p            6P*  </t>
  </si>
  <si>
    <t xml:space="preserve">  88             :    10  3d6.(5D).4p            6P*  </t>
  </si>
  <si>
    <t xml:space="preserve">  88             :    11  3d6.(5D).4p            6P*  </t>
  </si>
  <si>
    <t>a 2I</t>
  </si>
  <si>
    <t xml:space="preserve">  98             :     1  3d5.4s2                2H   </t>
  </si>
  <si>
    <t>3d6.(3G).4s</t>
  </si>
  <si>
    <t>b 4G</t>
  </si>
  <si>
    <t xml:space="preserve">  88             :    10  3d6.(3H).4s            2H   </t>
  </si>
  <si>
    <t xml:space="preserve">  94             :     3  3d6.(3H).4s            2H   </t>
  </si>
  <si>
    <t xml:space="preserve">  96             :     2  3d6.(3F2).4s           2F   </t>
  </si>
  <si>
    <t xml:space="preserve">  64             :    33  3d6.(3P1).4s           2P   </t>
  </si>
  <si>
    <t xml:space="preserve">  65             :    33  3d6.(3P1).4s           2P   </t>
  </si>
  <si>
    <t xml:space="preserve">  88             :    10  3d6.(3G).4s            4G   </t>
  </si>
  <si>
    <t xml:space="preserve">  94             :     3  3d6.(3G).4s            4G   </t>
  </si>
  <si>
    <t xml:space="preserve">  74             :    16  3d6.(3F1).4s           2F   </t>
  </si>
  <si>
    <t xml:space="preserve">  72             :    15  3d6.(3F1).4s           2F   </t>
  </si>
  <si>
    <t>3d5.4s.(7S).5s</t>
  </si>
  <si>
    <t>e 8S</t>
  </si>
  <si>
    <t xml:space="preserve">                                                      </t>
  </si>
  <si>
    <t xml:space="preserve">  92             :     5  3d5.4s2                2G2  </t>
  </si>
  <si>
    <t xml:space="preserve">  92             :     6  3d6.(3F2).4s           2F   </t>
  </si>
  <si>
    <t>e 6S</t>
  </si>
  <si>
    <t>3d6.(5D).4p</t>
  </si>
  <si>
    <t xml:space="preserve">  94             :     4  3d5.(4D).4s.4p.(3P*)   6D*  </t>
  </si>
  <si>
    <t xml:space="preserve">  94             :     5  3d5.(4D).4s.4p.(3P*)   6D*  </t>
  </si>
  <si>
    <t xml:space="preserve">  95             :     4  3d5.(4D).4s.4p.(3P*)   6D*  </t>
  </si>
  <si>
    <t>3d6.(1I).4s</t>
  </si>
  <si>
    <t>b 2I</t>
  </si>
  <si>
    <t xml:space="preserve">  82             :    16  3d5.(4G).4s.4p.(3P*)   6F*  </t>
  </si>
  <si>
    <t xml:space="preserve">  80             :    17  3d5.(4G).4s.4p.(3P*)   6F*  </t>
  </si>
  <si>
    <t xml:space="preserve">  81             :    16  3d5.(4G).4s.4p.(3P*)   6F*  </t>
  </si>
  <si>
    <t xml:space="preserve">  80             :    16  3d5.(4G).4s.4p.(3P*)   6F*  </t>
  </si>
  <si>
    <t xml:space="preserve">  90             :     6  3d5.(4G).4s.4p.(3P*)   4F*  </t>
  </si>
  <si>
    <t xml:space="preserve">  88             :     6  3d5.(4G).4s.4p.(3P*)   4F*  </t>
  </si>
  <si>
    <t xml:space="preserve">  89             :     7  3d5.(4G).4s.4p.(3P*)   4F*  </t>
  </si>
  <si>
    <t xml:space="preserve">  90             :     7  3d5.(4G).4s.4p.(3P*)   4F*  </t>
  </si>
  <si>
    <t>x 6P*</t>
  </si>
  <si>
    <t xml:space="preserve">  64             :    20  3d5.(4P).4s.4p.(3P*)   6P*  </t>
  </si>
  <si>
    <t xml:space="preserve">  67             :    21  3d5.(4P).4s.4p.(3P*)   6P*  </t>
  </si>
  <si>
    <t xml:space="preserve">  68             :    20  3d5.(4P).4s.4p.(3P*)   6P*  </t>
  </si>
  <si>
    <t xml:space="preserve">  81             :     9  3d6.(5D).4p            6P*  </t>
  </si>
  <si>
    <t>3d5.4s.(7S).5p</t>
  </si>
  <si>
    <t>y 8P*</t>
  </si>
  <si>
    <t>3d5.4s.(7S).4d</t>
  </si>
  <si>
    <t>e 8D</t>
  </si>
  <si>
    <t>w 6P*</t>
  </si>
  <si>
    <t>3d5.(4P).4s.4p.(3P*)</t>
  </si>
  <si>
    <t xml:space="preserve">  82             :    16  3d5.(4D).4s.4p.(3P*)   6D*  </t>
  </si>
  <si>
    <t xml:space="preserve">  83             :    15  3d5.(4D).4s.4p.(3P*)   6D*  </t>
  </si>
  <si>
    <t xml:space="preserve">  74             :    13  3d5.(4D).4s.4p.(3P*)   6D*  </t>
  </si>
  <si>
    <t xml:space="preserve">  65             :    17  3d5.(4G).4s.4p.(3P*)   6F*  </t>
  </si>
  <si>
    <t>3d5.(4G).4s.4p.(3P*)</t>
  </si>
  <si>
    <t xml:space="preserve">  81             :    14  3d6.(5D).4p            6F*  </t>
  </si>
  <si>
    <t xml:space="preserve">  61             :    20  3d5.(4P).4s.4p.(3P*)   6D*  </t>
  </si>
  <si>
    <t xml:space="preserve">  72             :    17  3d6.(5D).4p            6F*  </t>
  </si>
  <si>
    <t xml:space="preserve">  76             :    20  3d6.(5D).4p            6F*  </t>
  </si>
  <si>
    <t xml:space="preserve">  76             :    19  3d6.(5D).4p            6F*  </t>
  </si>
  <si>
    <t xml:space="preserve">  75             :    20  3d6.(5D).4p            6F*  </t>
  </si>
  <si>
    <t>3d5.4s.(5S).5s</t>
  </si>
  <si>
    <t>f 6S</t>
  </si>
  <si>
    <t>e 4S</t>
  </si>
  <si>
    <t>v 6P*</t>
  </si>
  <si>
    <t xml:space="preserve">  62             :    18  3d6.(5D).4p            6P*  </t>
  </si>
  <si>
    <t xml:space="preserve">  65             :    15  3d6.(5D).4p            6P*  </t>
  </si>
  <si>
    <t xml:space="preserve">  69             :    19  3d6.(5D).4p            6P*  </t>
  </si>
  <si>
    <t>3d5.4s.(7S).6s</t>
  </si>
  <si>
    <t>f 8S</t>
  </si>
  <si>
    <t>3d5.(4D).4s.4p.(3P*)</t>
  </si>
  <si>
    <t>x 6F*</t>
  </si>
  <si>
    <t xml:space="preserve">  91             :     6  3d5.(4G).4s.4p.(3P*)   6F*  </t>
  </si>
  <si>
    <t>g 6S</t>
  </si>
  <si>
    <t xml:space="preserve">  75             :    19  3d5.(4D).4s.4p.(3P*)   4P*  </t>
  </si>
  <si>
    <t xml:space="preserve">  72             :    16  3d5.(4D).4s.4p.(3P*)   4P*  </t>
  </si>
  <si>
    <t xml:space="preserve">  73             :    14  3d5.(4D).4s.4p.(3P*)   4P*  </t>
  </si>
  <si>
    <t>3p6.3d7</t>
  </si>
  <si>
    <t>e 4P</t>
  </si>
  <si>
    <t xml:space="preserve">  90             :     7  3d6.(3P1).4s           4P   </t>
  </si>
  <si>
    <t xml:space="preserve">  86             :    10  3d6.(3P1).4s           4P   </t>
  </si>
  <si>
    <t xml:space="preserve">  83             :    13  3d6.(3P1).4s           4P   </t>
  </si>
  <si>
    <t>u 6P*</t>
  </si>
  <si>
    <t xml:space="preserve">  86             :     8  3d5.(4P).4s.4p.(3P*)   6P*  </t>
  </si>
  <si>
    <t xml:space="preserve">  69             :    20  3d5.(4P).4s.4p.(3P*)   6D*  </t>
  </si>
  <si>
    <t xml:space="preserve">  60             :    21  3d5.(4P).4s.4p.(3P*)   6D*  </t>
  </si>
  <si>
    <t>3d5.4s.(7S).6p</t>
  </si>
  <si>
    <t>8P*</t>
  </si>
  <si>
    <t>3d5.4s.(7S).5d</t>
  </si>
  <si>
    <t>f 8D</t>
  </si>
  <si>
    <t xml:space="preserve">  81             :    15  3d5.(4P).4s.4p.(3P*)   6D*  </t>
  </si>
  <si>
    <t xml:space="preserve">  69             :    14  3d5.(4P).4s.4p.(3P*)   6D*  </t>
  </si>
  <si>
    <t xml:space="preserve">  76             :    16  3d5.(4P).4s.4p.(3P*)   6D*  </t>
  </si>
  <si>
    <t xml:space="preserve">  75             :    16  3d5.(4P).4s.4p.(3P*)   6D*  </t>
  </si>
  <si>
    <t xml:space="preserve">  74             :    15  3d5.(4P).4s.4p.(3P*)   6D*  </t>
  </si>
  <si>
    <t>3d5.4s.(7S).4f</t>
  </si>
  <si>
    <t>z 8F*</t>
  </si>
  <si>
    <t>w 6F*</t>
  </si>
  <si>
    <t xml:space="preserve">  75             :    15  3d5.(4P).4s.4p.(3P*)   6D*  </t>
  </si>
  <si>
    <t xml:space="preserve">  80             :    12  3d5.(4P).4s.4p.(3P*)   6D*  </t>
  </si>
  <si>
    <t xml:space="preserve">  75             :    12  3d5.(4P).4s.4p.(3P*)   6D*  </t>
  </si>
  <si>
    <t xml:space="preserve">  77             :    13  3d5.(4P).4s.4p.(3P*)   6D*  </t>
  </si>
  <si>
    <t>t 6P*</t>
  </si>
  <si>
    <t>z 4S*</t>
  </si>
  <si>
    <t xml:space="preserve">  70             :    15  3d6.(a 3P).4p          4S*  </t>
  </si>
  <si>
    <t>3d5.4s.(7S).7s</t>
  </si>
  <si>
    <t>h 6S</t>
  </si>
  <si>
    <t>3d5.4s.(5S).4d</t>
  </si>
  <si>
    <t xml:space="preserve">  85             :     8  3d5.(4F).4s.4p.(3P*)   4D*  </t>
  </si>
  <si>
    <t xml:space="preserve">  62             :    21  3d5.(4P).4s.4p.(3P*)   2P*  </t>
  </si>
  <si>
    <t>3d5.4s.(7S).7p</t>
  </si>
  <si>
    <t>3d5.4s.(5S).5p</t>
  </si>
  <si>
    <t>3d5.4s.(7S).6d</t>
  </si>
  <si>
    <t>g 8D</t>
  </si>
  <si>
    <t>3d5.4s.(7S).5f</t>
  </si>
  <si>
    <t>v 6F*</t>
  </si>
  <si>
    <t>y 8F*</t>
  </si>
  <si>
    <t>h 6D</t>
  </si>
  <si>
    <t>s 6P*</t>
  </si>
  <si>
    <t>3d5.4s.(7S).8s</t>
  </si>
  <si>
    <t>g 8S</t>
  </si>
  <si>
    <t>3d6.(5D).5s</t>
  </si>
  <si>
    <t>i 6D</t>
  </si>
  <si>
    <t>3d5.4s.(7S).8p</t>
  </si>
  <si>
    <t>3d5.4s.(7S).7d</t>
  </si>
  <si>
    <t>h 8D</t>
  </si>
  <si>
    <t>3d5.4s.(7S).6f</t>
  </si>
  <si>
    <t>u 6F*</t>
  </si>
  <si>
    <t>3d5.4p2</t>
  </si>
  <si>
    <t>e 8P</t>
  </si>
  <si>
    <t xml:space="preserve">  62             :    27  3d5.(4P).4s.4p.(3P*)   4P*  </t>
  </si>
  <si>
    <t xml:space="preserve">  49             :    17  3d6.(a 3P).4p          4S*  </t>
  </si>
  <si>
    <t>f 4D</t>
  </si>
  <si>
    <t>3d6.(a 3P).4p</t>
  </si>
  <si>
    <t xml:space="preserve">  37             :    31  3d5.(4P).4s.4p.(3P*)   4S*  </t>
  </si>
  <si>
    <t>3d5.4s.(7S).9p</t>
  </si>
  <si>
    <t>3d5.4s.(7S).7f</t>
  </si>
  <si>
    <t>t 6F*</t>
  </si>
  <si>
    <t>3d5.(4G).4s.4p.(1P*)</t>
  </si>
  <si>
    <t xml:space="preserve">  57             :    31  3d6.(3H).4p            4G*  </t>
  </si>
  <si>
    <t xml:space="preserve">  58             :    30  3d6.(3H).4p            4G*  </t>
  </si>
  <si>
    <t xml:space="preserve">  59             :    29  3d6.(3H).4p            4G*  </t>
  </si>
  <si>
    <t xml:space="preserve">  60             :    28  3d6.(3H).4p            4G*  </t>
  </si>
  <si>
    <t>3d5.4s.(7S).10p</t>
  </si>
  <si>
    <t>3d6.(3H).4p</t>
  </si>
  <si>
    <t>y 4H*</t>
  </si>
  <si>
    <t xml:space="preserve">  69             :    16  3d5.(4G).4s.4p.(3P*)   4H*  </t>
  </si>
  <si>
    <t xml:space="preserve">  54             :    13  3d5.(4G).4s.4p.(3P*)   4H*  </t>
  </si>
  <si>
    <t xml:space="preserve">  61             :    12  3d5.(4G).4s.4p.(3P*)   4H*  </t>
  </si>
  <si>
    <t xml:space="preserve">  60             :    13  3d5.(4G).4s.4p.(3P*)   4H*  </t>
  </si>
  <si>
    <t>3d5.4s.(7S).11p</t>
  </si>
  <si>
    <t>3d5.4s.(7S).12p</t>
  </si>
  <si>
    <t xml:space="preserve">  51             :    35  3d5.(2I).4s.4p.(3P*)   4I*  </t>
  </si>
  <si>
    <t xml:space="preserve">  52             :    46  3d5.(2I).4s.4p.(3P*)   4I*  </t>
  </si>
  <si>
    <t xml:space="preserve">  54             :    35  3d5.(2I).4s.4p.(3P*)   4I*  </t>
  </si>
  <si>
    <t xml:space="preserve">  51             :    46  3d5.(2I).4s.4p.(3P*)   4I*  </t>
  </si>
  <si>
    <t>3d5.4s.(7S).13p</t>
  </si>
  <si>
    <t>3d6.(a 3F).4p</t>
  </si>
  <si>
    <t xml:space="preserve">  41             :    26  3d6.(a 3P).4p          4P*  </t>
  </si>
  <si>
    <t xml:space="preserve">  56             :    23  3d6.(a 3P).4p          4D*  </t>
  </si>
  <si>
    <t xml:space="preserve">  47             :    26  3d5.(4P).4s.4p.(3P*)   4D*  </t>
  </si>
  <si>
    <t xml:space="preserve">  45             :    21  3d5.(4P).4s.4p.(3P*)   4D*  </t>
  </si>
  <si>
    <t>3d5.4s.(7S).14p</t>
  </si>
  <si>
    <t xml:space="preserve">  55             :    21  3d5.(4G).4s.4p.(1P*)   4F*  </t>
  </si>
  <si>
    <t xml:space="preserve">  53             :    19  3d5.(4G).4s.4p.(1P*)   4F*  </t>
  </si>
  <si>
    <t xml:space="preserve">  52             :    22  3d5.(4G).4s.4p.(1P*)   4F*  </t>
  </si>
  <si>
    <t xml:space="preserve">  49             :    19  3d5.(4G).4s.4p.(1P*)   4F*  </t>
  </si>
  <si>
    <t>3d5.4s.(7S).15p</t>
  </si>
  <si>
    <t xml:space="preserve">  52             :    17  3d5.(4D).4s.4p.(3P*)   4P*  </t>
  </si>
  <si>
    <t xml:space="preserve">  43             :    31  3d6.(a 3F).4p          4D*  </t>
  </si>
  <si>
    <t xml:space="preserve">  61             :    18  3d5.(4D).4s.4p.(3P*)   4P*  </t>
  </si>
  <si>
    <t>3d5.4s.(7S).16p</t>
  </si>
  <si>
    <t>3d5.4s.(7S).17p</t>
  </si>
  <si>
    <t xml:space="preserve">  30             :    24  3d6.(a 3F).4p          4D*  </t>
  </si>
  <si>
    <t xml:space="preserve">  66             :    14  3d5.(a 2F).4s.4p.(3P*) 4D*  </t>
  </si>
  <si>
    <t xml:space="preserve">  63             :    13  3d6.(a 3F).4p          4D*  </t>
  </si>
  <si>
    <t xml:space="preserve">  67             :    13  3d5.(a 2F).4s.4p.(3P*) 4D*  </t>
  </si>
  <si>
    <t>3d5.4s.(7S).18p</t>
  </si>
  <si>
    <t>3d5.4s.(7S).19p</t>
  </si>
  <si>
    <t xml:space="preserve">  48             :    21  3d5.(4D).4s.4p.(3P*)   2F*  </t>
  </si>
  <si>
    <t xml:space="preserve">  53             :    12  3d6.(a 3F).4p          4F*  </t>
  </si>
  <si>
    <t>3d5.4s.(7S).20p</t>
  </si>
  <si>
    <t xml:space="preserve">  87             :    11  3d5.(2I).4s.4p.(3P*)   2I*  </t>
  </si>
  <si>
    <t xml:space="preserve">  86             :    10  3d5.(2I).4s.4p.(3P*)   2I*  </t>
  </si>
  <si>
    <t>3d5.4s.(7S).21p</t>
  </si>
  <si>
    <t xml:space="preserve">  62             :    25  3d6.(3H).4p            4G*  </t>
  </si>
  <si>
    <t xml:space="preserve">  51             :    19  3d6.(a 3F).4p          4F*  </t>
  </si>
  <si>
    <t xml:space="preserve">  52             :    20  3d6.(3H).4p            4G*  </t>
  </si>
  <si>
    <t xml:space="preserve">  55             :    21  3d6.(3H).4p            4G*  </t>
  </si>
  <si>
    <t>3d5.4s.(7S).22p</t>
  </si>
  <si>
    <t>3d5.4s.(7S).23p</t>
  </si>
  <si>
    <t>3d5.4s.(7S).24p</t>
  </si>
  <si>
    <t>3d5.4s.(7S).25p</t>
  </si>
  <si>
    <t>3d5.4s.(7S).26p</t>
  </si>
  <si>
    <t>3d5.4s.(7S).27p</t>
  </si>
  <si>
    <t>3d5.4s.(7S).28p</t>
  </si>
  <si>
    <t>3d5.4s.(7S).29p</t>
  </si>
  <si>
    <t>3d5.4s.(7S).30p</t>
  </si>
  <si>
    <t>3d5.4s.(7S).31p</t>
  </si>
  <si>
    <t>3d5.4s.(7S).32p</t>
  </si>
  <si>
    <t>3d5.4s.(7S).33p</t>
  </si>
  <si>
    <t>3d5.4s.(7S).34p</t>
  </si>
  <si>
    <t>3d5.4s.(7S).35p</t>
  </si>
  <si>
    <t>3d5.4s.(7S).36p</t>
  </si>
  <si>
    <t>3d5.4s.(7S).37p</t>
  </si>
  <si>
    <t>3d5.4s.(7S).38p</t>
  </si>
  <si>
    <t>3d5.4s.(7S).39p</t>
  </si>
  <si>
    <t>3d5.4s.(7S).40p</t>
  </si>
  <si>
    <t>3d5.4s.(7S).41p</t>
  </si>
  <si>
    <t>Mn II (3d5.4s 7S&lt;3&gt;)</t>
  </si>
  <si>
    <t>L19057</t>
  </si>
  <si>
    <t xml:space="preserve">  51             :    18  3d6.(3G).4p            2G*  </t>
  </si>
  <si>
    <t xml:space="preserve">  47             :    16  3d6.(a 3F).4p          2F*  </t>
  </si>
  <si>
    <t>3d5.(a 2D).4s.4p.(3P*)</t>
  </si>
  <si>
    <t xml:space="preserve">  60             :    20  3d5.(a 2F).4s.4p.(3P*) 4F*  </t>
  </si>
  <si>
    <t xml:space="preserve">  61             :    22  3d5.(a 2F).4s.4p.(3P*) 4F*  </t>
  </si>
  <si>
    <t xml:space="preserve">  58             :    23  3d5.(a 2F).4s.4p.(3P*) 4F*  </t>
  </si>
  <si>
    <t xml:space="preserve">  59             :    19  3d5.(a 2F).4s.4p.(3P*) 4F*  </t>
  </si>
  <si>
    <t>3d5.(2I).4s.4p.(3P*)</t>
  </si>
  <si>
    <t xml:space="preserve">  61             :    18  3d5.(4G).4s.4p.(1P*)   4H*  </t>
  </si>
  <si>
    <t xml:space="preserve">  60             :    20  3d5.(4G).4s.4p.(1P*)   4H*  </t>
  </si>
  <si>
    <t xml:space="preserve">  57             :    15  3d5.(4G).4s.4p.(1P*)   4H*  </t>
  </si>
  <si>
    <t xml:space="preserve">  58             :    17  3d5.(4G).4s.4p.(1P*)   4H*  </t>
  </si>
  <si>
    <t>y 4I*</t>
  </si>
  <si>
    <t xml:space="preserve">  67             :    26  3d6.(3H).4p            4I*  </t>
  </si>
  <si>
    <t xml:space="preserve">  54             :    19  3d6.(3H).4p            4I*  </t>
  </si>
  <si>
    <t xml:space="preserve">  65             :    28  3d6.(3H).4p            4I*  </t>
  </si>
  <si>
    <t xml:space="preserve">  49             :    21  3d6.(3H).4p            4I*  </t>
  </si>
  <si>
    <t>3d6.(3G).4p</t>
  </si>
  <si>
    <t xml:space="preserve">  48             :    18  3d6.(a 3F).4p          4G*  </t>
  </si>
  <si>
    <t xml:space="preserve">  42             :    15  3d6.(a 3F).4p          4G*  </t>
  </si>
  <si>
    <t xml:space="preserve">  39             :    16  3d6.(a 3F).4p          4G*  </t>
  </si>
  <si>
    <t xml:space="preserve">  35             :    15  3d6.(a 3F).4p          4G*  </t>
  </si>
  <si>
    <t xml:space="preserve">  65             :    15  3d5.(4D).4s.4p.(3P*)   2F*  </t>
  </si>
  <si>
    <t xml:space="preserve">  51             :    17  3d6.(a 3F).4p          2G*  </t>
  </si>
  <si>
    <t xml:space="preserve">  58             :    12  3d6.(3H).4p            2G*  </t>
  </si>
  <si>
    <t xml:space="preserve">  73             :    11  3d6.(3H).4p            2G*  </t>
  </si>
  <si>
    <t>3d5.(4F).4s.4p.(3P*)</t>
  </si>
  <si>
    <t xml:space="preserve">  52             :    29  3d6.(a 3F).4p          2F*  </t>
  </si>
  <si>
    <t>3d6.(5D).4d</t>
  </si>
  <si>
    <t xml:space="preserve">  59             :    14  3d5.(2I).4s.4p.(3P*)   2H*  </t>
  </si>
  <si>
    <t>3d5.4s.(5S).6p</t>
  </si>
  <si>
    <t>2K*</t>
  </si>
  <si>
    <t>e 4G</t>
  </si>
  <si>
    <t xml:space="preserve">  41             :    25  3d5.(4D).4s.4p.(3P*)   2P*  </t>
  </si>
  <si>
    <t xml:space="preserve">  45             :    26  3d5.(4D).4s.4p.(3P*)   2P*  </t>
  </si>
  <si>
    <t>v 4F*</t>
  </si>
  <si>
    <t xml:space="preserve">  31             :     9  3d5.(a 2F).4s.4p.(3P*) 4F*  </t>
  </si>
  <si>
    <t xml:space="preserve">  34             :    19  3d5.(a 2F).4s.4p.(3P*) 4F*  </t>
  </si>
  <si>
    <t xml:space="preserve">  32             :    18  3d5.(a 2F).4s.4p.(3P*) 4F*  </t>
  </si>
  <si>
    <t xml:space="preserve">  35             :    16  3d5.(a 2F).4s.4p.(3P*) 4F*  </t>
  </si>
  <si>
    <t>y 2D*</t>
  </si>
  <si>
    <t xml:space="preserve">  58             :    20  3d6.(3G).4p            4F*  </t>
  </si>
  <si>
    <t xml:space="preserve">  53             :    29  3d6.(3G).4p            4F*  </t>
  </si>
  <si>
    <t xml:space="preserve">  32             :    20  3d5.(a 2F).4s.4p.(3P*) 4F*  </t>
  </si>
  <si>
    <t xml:space="preserve">  74             :     8  3d6.(3H).4p            2H*  </t>
  </si>
  <si>
    <t xml:space="preserve">  73             :     9  3d6.(3H).4p            2H*  </t>
  </si>
  <si>
    <t xml:space="preserve">  31  4F*        :    19  3d6.(3G).4p            4G*  </t>
  </si>
  <si>
    <t>3d5.(a 2F).4s.4p.(3P*)</t>
  </si>
  <si>
    <t xml:space="preserve">  67             :    12  3d5.(4G).4s.4p.(1P*)   4H*  </t>
  </si>
  <si>
    <t xml:space="preserve">  68             :    11  3d5.(4G).4s.4p.(1P*)   4H*  </t>
  </si>
  <si>
    <t xml:space="preserve">  51             :    22  3d6.(3G).4p            4H*  </t>
  </si>
  <si>
    <t xml:space="preserve">  45             :    23  3d6.(3G).4p            4H*  </t>
  </si>
  <si>
    <t xml:space="preserve">  41             :    24  3d6.(3G).4p            4H*  </t>
  </si>
  <si>
    <t xml:space="preserve">  52             :    23  3d6.(3G).4p            4H*  </t>
  </si>
  <si>
    <t xml:space="preserve">  62             :    28  3d5.(a 2F).4s.4p.(3P*) 2D*  </t>
  </si>
  <si>
    <t xml:space="preserve">  60             :    29  3d5.(a 2F).4s.4p.(3P*) 2D*  </t>
  </si>
  <si>
    <t xml:space="preserve">  85             :    11  3d6.(1I).4p            2I*  </t>
  </si>
  <si>
    <t xml:space="preserve">  71             :    15  3d5.(a 2D).4s.4p.(3P*) 2F*  </t>
  </si>
  <si>
    <t xml:space="preserve">  62             :    19  3d5.(a 2D).4s.4p.(3P*) 2P*  </t>
  </si>
  <si>
    <t xml:space="preserve">  68             :    12  3d5.(a 2D).4s.4p.(3P*) 2P*  </t>
  </si>
  <si>
    <t xml:space="preserve">  65             :    18  3d5.(a 2D).4s.4p.(3P*) 2F*  </t>
  </si>
  <si>
    <t xml:space="preserve">  42             :    23  3d5.(a 2D).4s.4p.(3P*) 4F*  </t>
  </si>
  <si>
    <t>w 2G*</t>
  </si>
  <si>
    <t xml:space="preserve">  62             :    21  3d6.(3G).4p            2G*  </t>
  </si>
  <si>
    <t xml:space="preserve">  64             :    25  3d6.(3G).4p            2G*  </t>
  </si>
  <si>
    <t>v 4H*</t>
  </si>
  <si>
    <t xml:space="preserve">  55             :    19  3d5.(2I).4s.4p.(3P*)   4H*  </t>
  </si>
  <si>
    <t xml:space="preserve">  54             :     8  3d5.(2I).4s.4p.(3P*)   4H*  </t>
  </si>
  <si>
    <t xml:space="preserve">  53             :    19  3d5.(2I).4s.4p.(3P*)   4H*  </t>
  </si>
  <si>
    <t xml:space="preserve">  41             :    18  3d5.(2I).4s.4p.(3P*)   4H*  </t>
  </si>
  <si>
    <t>3d5.4s.(5S).7p</t>
  </si>
  <si>
    <t xml:space="preserve">  62             :    25  3d5.(a 2F).4s.4p.(3P*) 4D*  </t>
  </si>
  <si>
    <t xml:space="preserve">  61             :    18  3d6.(3G).4p            4H*  </t>
  </si>
  <si>
    <t xml:space="preserve">  35  2F*        :    32  3d6.(3G).4p            2G*  </t>
  </si>
  <si>
    <t xml:space="preserve">  31  2G*        :    28  3d6.(3H).4p            4G*  </t>
  </si>
  <si>
    <t xml:space="preserve">  32  4G*        :    24  3d6.(3G).4p            2F*  </t>
  </si>
  <si>
    <t xml:space="preserve">  33  4G*        :    29  3d6.(3G).4p            2F*  </t>
  </si>
  <si>
    <t xml:space="preserve">  39             :    21  3d5.(a 2G).4s.4p.(3P*) 4G*  </t>
  </si>
  <si>
    <t xml:space="preserve">  41             :    20  3d5.(a 2G).4s.4p.(3P*) 4G*  </t>
  </si>
  <si>
    <t>3d5.(4P).4s.4p.(1P*)</t>
  </si>
  <si>
    <t xml:space="preserve">  32             :    18  3d6.(3D).4p            4D*  </t>
  </si>
  <si>
    <t xml:space="preserve">  30  4D*        :    18  3d5.(a 2D).4s.4p.(3P*) 2P*  </t>
  </si>
  <si>
    <t>v 2F*</t>
  </si>
  <si>
    <t xml:space="preserve">  41             :    21  3d5.(4F).4s.4p.(3P*)   4G*  </t>
  </si>
  <si>
    <t xml:space="preserve">  32  2G*        :    29  3d6.(3H).4p            4G*  </t>
  </si>
  <si>
    <t>3d5.(a 2G).4s.4p.(3P*)</t>
  </si>
  <si>
    <t>u 4H*</t>
  </si>
  <si>
    <t xml:space="preserve">  35             :    28  3d5.(2H).4s.4p.(3P*)   4H*  </t>
  </si>
  <si>
    <t xml:space="preserve">  34             :    27  3d5.(2H).4s.4p.(3P*)   4H*  </t>
  </si>
  <si>
    <t xml:space="preserve">  36             :    25  3d5.(2H).4s.4p.(3P*)   4H*  </t>
  </si>
  <si>
    <t xml:space="preserve">  39             :    26  3d5.(2H).4s.4p.(3P*)   4H*  </t>
  </si>
  <si>
    <t xml:space="preserve">  32  4G*        :    10  3d6.(3D).4p            4F*  </t>
  </si>
  <si>
    <t xml:space="preserve">  39  4G*        :    15  3d6.(3D).4p            4F*  </t>
  </si>
  <si>
    <t xml:space="preserve">  68             :    25  3d6.(a 3P).4p          4S*  </t>
  </si>
  <si>
    <t xml:space="preserve">  40             :    12  3d6.(3D).4p            4F*  </t>
  </si>
  <si>
    <t xml:space="preserve">  59             :    16  3d5.(2H).4s.4p.(3P*)   4G*  </t>
  </si>
  <si>
    <t xml:space="preserve">  39             :    18  3d6.(a 1G).4p          2F*  </t>
  </si>
  <si>
    <t xml:space="preserve">  31             :    16  3d6.(a 1G).4p          2F*  </t>
  </si>
  <si>
    <t>3d6.(a 1G).4p</t>
  </si>
  <si>
    <t xml:space="preserve">  48             :    16  3d5.(4F).4s.4p.(3P*)   4G*  </t>
  </si>
  <si>
    <t xml:space="preserve">  42             :    18  3d5.(4F).4s.4p.(3P*)   4G*  </t>
  </si>
  <si>
    <t>3d6.(3D).4p</t>
  </si>
  <si>
    <t xml:space="preserve">  34             :    21  3d5.(4D).4s.4p.(1P*)   4F*  </t>
  </si>
  <si>
    <t xml:space="preserve">  36             :    19  3d5.(4D).4s.4p.(1P*)   4F*  </t>
  </si>
  <si>
    <t xml:space="preserve">  38             :    21  3d5.(4D).4s.4p.(1P*)   4F*  </t>
  </si>
  <si>
    <t xml:space="preserve">  33             :    19  3d5.(4D).4s.4p.(1P*)   4F*  </t>
  </si>
  <si>
    <t>3d5.(4D).4s.4p.(1P*)</t>
  </si>
  <si>
    <t xml:space="preserve">  41             :    20  3d5.(4D).4s.4p.(1P*)   4D*  </t>
  </si>
  <si>
    <t xml:space="preserve">  59             :    18  3d5.(a 2G).4s.4p.(3P*) 4F*  </t>
  </si>
  <si>
    <t xml:space="preserve">  52             :    21  3d5.(a 2D).4s.4p.(3P*) 2D*  </t>
  </si>
  <si>
    <t>3d5.4s.(5S).9p</t>
  </si>
  <si>
    <t>3d6.(1I).4p</t>
  </si>
  <si>
    <t>w 2H*</t>
  </si>
  <si>
    <t xml:space="preserve">  51             :    32  3d6.(a 1G).4p          2H*  </t>
  </si>
  <si>
    <t xml:space="preserve">  45             :    24  3d6.(a 1G).4p          2H*  </t>
  </si>
  <si>
    <t>3d5.4s.(5S).10p</t>
  </si>
  <si>
    <t>3d5.(2H).4s.4p.(3P*)</t>
  </si>
  <si>
    <t xml:space="preserve">  42             :    22  3d5.(a 2G).4s.4p.(3P*) 4G*  </t>
  </si>
  <si>
    <t xml:space="preserve">  41             :    23  3d5.(a 2G).4s.4p.(3P*) 4G*  </t>
  </si>
  <si>
    <t xml:space="preserve">  38             :    22  3d5.(a 2G).4s.4p.(3P*) 4G*  </t>
  </si>
  <si>
    <t xml:space="preserve">  41             :    25  3d5.(a 2G).4s.4p.(3P*) 4G*  </t>
  </si>
  <si>
    <t>3d6.(5D).6p</t>
  </si>
  <si>
    <t>3d5.4s.(5S).11p</t>
  </si>
  <si>
    <t xml:space="preserve">  52             :    18  3d6.(3D).4p            4F*  </t>
  </si>
  <si>
    <t xml:space="preserve">  51             :    22  3d6.(3D).4p            4F*  </t>
  </si>
  <si>
    <t>3d5.4s.(5S).12p</t>
  </si>
  <si>
    <t>3d5.4s.(5S).13p</t>
  </si>
  <si>
    <t>3d5.4s.(5S).14p</t>
  </si>
  <si>
    <t>3d5.4s.(5G).5s</t>
  </si>
  <si>
    <t>f 4G</t>
  </si>
  <si>
    <t>3d5.4s.(5S).15p</t>
  </si>
  <si>
    <t>z 2K*</t>
  </si>
  <si>
    <t>3d5.4s.(5S).16p</t>
  </si>
  <si>
    <t>3d5.4s.(5S).17p</t>
  </si>
  <si>
    <t>3d5.4s.(5S).18p</t>
  </si>
  <si>
    <t>3d5.4s.(5S).19p</t>
  </si>
  <si>
    <t>3d5.4s.(5S).20p</t>
  </si>
  <si>
    <t>3d5.4s.(5S).21p</t>
  </si>
  <si>
    <t>3d5.4s.(5S).22p</t>
  </si>
  <si>
    <t>3d5.4s.(5S).23p</t>
  </si>
  <si>
    <t>3d5.4s.(5S).24p</t>
  </si>
  <si>
    <t>3d5.4s.(5S).25p</t>
  </si>
  <si>
    <t>3d5.4s.(5S).26p</t>
  </si>
  <si>
    <t>3d5.4s.(5S).27p</t>
  </si>
  <si>
    <t>3d5.4s.(5S).28p</t>
  </si>
  <si>
    <t>3d5.4s.(5S).30p</t>
  </si>
  <si>
    <t>3d5.4s.(5S).31p</t>
  </si>
  <si>
    <t>3d5.4s.(5S).32p</t>
  </si>
  <si>
    <t>3d5.4s.(5S).33p</t>
  </si>
  <si>
    <t>3d5.4s.(5S).34p</t>
  </si>
  <si>
    <t>3d5.4s.(5S).35p</t>
  </si>
  <si>
    <t>3d5.4s.(5S).36p</t>
  </si>
  <si>
    <t>3d5.4s.(5S).37p</t>
  </si>
  <si>
    <t>3d5.4s.(5S).38p</t>
  </si>
  <si>
    <t>3d5.4s.(5S).39p</t>
  </si>
  <si>
    <t>3d5.4s.(5S).40p</t>
  </si>
  <si>
    <t>3d5.4s.(5S).41p</t>
  </si>
  <si>
    <t>3d5.4s.(5S).42p</t>
  </si>
  <si>
    <t>3d5.4s.(5S).43p</t>
  </si>
  <si>
    <t>3d5.4s.(5S).44p</t>
  </si>
  <si>
    <t>3d5.4s.(5S).45p</t>
  </si>
  <si>
    <t>3d5.4s.(5S).46p</t>
  </si>
  <si>
    <t>3d5.4s.(5S).47p</t>
  </si>
  <si>
    <t>3d5.4s.(5S).48p</t>
  </si>
  <si>
    <t>3d5.4s.(5S).49p</t>
  </si>
  <si>
    <t>3d5.4s.(5S).50p</t>
  </si>
  <si>
    <t>3d5.4s.(5S).51p</t>
  </si>
  <si>
    <t>3d5.4s.(5S).52p</t>
  </si>
  <si>
    <t>3d5.4s.(5S).53p</t>
  </si>
  <si>
    <t>3d5.4s.(5S).54p</t>
  </si>
  <si>
    <t>3d5.4s.(5S).55p</t>
  </si>
  <si>
    <t>Mn II (3d5.4s 5S&lt;2&gt;)</t>
  </si>
  <si>
    <t>3d5.4s.(5S).29p</t>
  </si>
  <si>
    <t>3p6.3d7.4s2</t>
  </si>
  <si>
    <t>3p6.3d8.(3F).4s</t>
  </si>
  <si>
    <t>3p6.3d8.(3P).4s</t>
  </si>
  <si>
    <t xml:space="preserve">  84             :    16  3d8.(1D).4s            2D   </t>
  </si>
  <si>
    <t>3p6.3d8.(1D).4s</t>
  </si>
  <si>
    <t>a 2D</t>
  </si>
  <si>
    <t xml:space="preserve">  83             :    16  3d8.(3P).4s            4P   </t>
  </si>
  <si>
    <t>b 2D</t>
  </si>
  <si>
    <t>3p6.3d8.(1G).4s</t>
  </si>
  <si>
    <t>3p6.3d7.(4F).4s.4p.(3P*)</t>
  </si>
  <si>
    <t xml:space="preserve">  78             :    18  3d7.(4F).4s.4p.(3P*)   6D*  </t>
  </si>
  <si>
    <t xml:space="preserve">  84             :    12  3d7.(4F).4s.4p.(3P*)   6D*  </t>
  </si>
  <si>
    <t xml:space="preserve">  90             :     7  3d7.(4F).4s.4p.(3P*)   6D*  </t>
  </si>
  <si>
    <t xml:space="preserve">  78             :    17  3d7.(4F).4s.4p.(3P*)   6F*  </t>
  </si>
  <si>
    <t xml:space="preserve">  83             :    11  3d7.(4F).4s.4p.(3P*)   6F*  </t>
  </si>
  <si>
    <t xml:space="preserve">  87             :     6  3d7.(4F).4s.4p.(3P*)   6F*  </t>
  </si>
  <si>
    <t>3p6.3d9</t>
  </si>
  <si>
    <t>c 2D</t>
  </si>
  <si>
    <t xml:space="preserve">  82             :    15  3d8.(3F).4p            4F*  </t>
  </si>
  <si>
    <t xml:space="preserve">  80             :    13  3d8.(3F).4p            4F*  </t>
  </si>
  <si>
    <t xml:space="preserve">  82             :    13  3d8.(3F).4p            4F*  </t>
  </si>
  <si>
    <t xml:space="preserve">  85             :    13  3d8.(3F).4p            4F*  </t>
  </si>
  <si>
    <t xml:space="preserve">  53             :    42  3d8.(3F).4p            4D*  </t>
  </si>
  <si>
    <t xml:space="preserve">  57             :    36  3d8.(3F).4p            4D*  </t>
  </si>
  <si>
    <t xml:space="preserve">  62             :    33  3d8.(3F).4p            4D*  </t>
  </si>
  <si>
    <t xml:space="preserve">  65             :    31  3d8.(3F).4p            4D*  </t>
  </si>
  <si>
    <t xml:space="preserve">  47             :    29  3d8.(3F).4p            4G*  </t>
  </si>
  <si>
    <t xml:space="preserve">  41             :    29  3d8.(3F).4p            4F*  </t>
  </si>
  <si>
    <t xml:space="preserve">  66             :    28  3d8.(3F).4p            2F*  </t>
  </si>
  <si>
    <t xml:space="preserve">  71             :    26  3d8.(3F).4p            2F*  </t>
  </si>
  <si>
    <t>3p6.3d8.(3F).4p</t>
  </si>
  <si>
    <t xml:space="preserve">  46             :    45  3d7.(4F).4s.4p.(3P*)   4D*  </t>
  </si>
  <si>
    <t xml:space="preserve">  51             :    41  3d7.(4F).4s.4p.(3P*)   4D*  </t>
  </si>
  <si>
    <t xml:space="preserve">  56             :    37  3d7.(4F).4s.4p.(3P*)   4D*  </t>
  </si>
  <si>
    <t xml:space="preserve">  59             :    36  3d7.(4F).4s.4p.(3P*)   4D*  </t>
  </si>
  <si>
    <t xml:space="preserve">  53             :    28  3d8.(3F).4p            2G*  </t>
  </si>
  <si>
    <t xml:space="preserve">  52             :    30  3d8.(3F).4p            4F*  </t>
  </si>
  <si>
    <t xml:space="preserve">  51             :    22  3d7.(4F).4s.4p.(1P*)   4F*  </t>
  </si>
  <si>
    <t xml:space="preserve">  67             :    24  3d7.(4F).4s.4p.(1P*)   4F*  </t>
  </si>
  <si>
    <t xml:space="preserve">  34  4G*        :    31  3d8.(3F).4p            2G*  </t>
  </si>
  <si>
    <t xml:space="preserve">  56             :    27  3d7.(4F).4s.4p.(3P*)   2G*  </t>
  </si>
  <si>
    <t xml:space="preserve">  50             :    21  3d7.(4F).4s.4p.(3P*)   2G*  </t>
  </si>
  <si>
    <t xml:space="preserve">  53             :    42  3d8.(3F).4p            2D*  </t>
  </si>
  <si>
    <t xml:space="preserve">  53             :    37  3d8.(3F).4p            2D*  </t>
  </si>
  <si>
    <t xml:space="preserve">  33  4G*        :    25  3d8.(3F).4p            4F*  </t>
  </si>
  <si>
    <t xml:space="preserve">  42  4G*        :    38  3d8.(3F).4p            4F*  </t>
  </si>
  <si>
    <t xml:space="preserve">  61             :    25  3d7.(4F).4s.4p.(3P*)   2F*  </t>
  </si>
  <si>
    <t xml:space="preserve">  53             :    18  3d8.(3F).4p            2D*  </t>
  </si>
  <si>
    <t xml:space="preserve">  35             :    36  3d7.(4F).4s.4p.(3P*)   2D*  </t>
  </si>
  <si>
    <t xml:space="preserve">  53             :    40  3d7.(4F).4s.4p.(3P*)   2D*  </t>
  </si>
  <si>
    <t>3p6.3d7.(4F).4s.4p.(1P*)</t>
  </si>
  <si>
    <t xml:space="preserve">  65             :    18  3d8.(3P).4p            4D*  </t>
  </si>
  <si>
    <t xml:space="preserve">  63             :    21  3d8.(3P).4p            4D*  </t>
  </si>
  <si>
    <t xml:space="preserve">  62             :    23  3d8.(3P).4p            4D*  </t>
  </si>
  <si>
    <t xml:space="preserve">  62             :    24  3d8.(3P).4p            4D*  </t>
  </si>
  <si>
    <t>3p6.3d7.(4P).4s.4p.(3P*)</t>
  </si>
  <si>
    <t xml:space="preserve">  74             :    10  3d8.(3P).4p            4S*  </t>
  </si>
  <si>
    <t xml:space="preserve">  66             :    19  3d7.(2G).4s.4p.(3P*)   4F*  </t>
  </si>
  <si>
    <t xml:space="preserve">  63             :    23  3d7.(2G).4s.4p.(3P*)   4F*  </t>
  </si>
  <si>
    <t xml:space="preserve">  59             :    24  3d7.(2G).4s.4p.(3P*)   4F*  </t>
  </si>
  <si>
    <t xml:space="preserve">  61             :    27  3d7.(2G).4s.4p.(3P*)   4F*  </t>
  </si>
  <si>
    <t>3p6.3d8.(3P).4p</t>
  </si>
  <si>
    <t xml:space="preserve">  65             :    12  3d7.(4P).4s.4p.(3P*)   4P*  </t>
  </si>
  <si>
    <t xml:space="preserve">  66             :    14  3d7.(2P).4s.4p.(3P*)   4P*  </t>
  </si>
  <si>
    <t xml:space="preserve">  64             :    12  3d7.(4P).4s.4p.(3P*)   4P*  </t>
  </si>
  <si>
    <t>3p6.3d7.(2G).4s.4p.(3P*)</t>
  </si>
  <si>
    <t>4H*</t>
  </si>
  <si>
    <t>3p6.3d8.(1D).4p</t>
  </si>
  <si>
    <t xml:space="preserve">  42             :    25  3d8.(3P).4p            2P*  </t>
  </si>
  <si>
    <t xml:space="preserve">  46             :    28  3d8.(1D).4p            2F*  </t>
  </si>
  <si>
    <t xml:space="preserve">  58             :     9  3d8.(1D).4p            2D*  </t>
  </si>
  <si>
    <t xml:space="preserve">  88             :     3  3d8.(1D).4p            2F*  </t>
  </si>
  <si>
    <t xml:space="preserve">  75             :     9  3d7.(2P).4s.4p.(3P*)   4D*  </t>
  </si>
  <si>
    <t xml:space="preserve">  71             :    15  3d7.(4F).4s.4p.(1P*)   4F*  </t>
  </si>
  <si>
    <t xml:space="preserve">  68             :    18  3d7.(4F).4s.4p.(1P*)   4F*  </t>
  </si>
  <si>
    <t xml:space="preserve">  37  2F*        :    36  3d7.(4P).4s.4p.(3P*)   4D*  </t>
  </si>
  <si>
    <t xml:space="preserve">  31  2P*        :    23  3d8.(1D).4p            2D*  </t>
  </si>
  <si>
    <t xml:space="preserve">  45             :    20  3d7.(2G).4s.4p.(3P*)   4F*  </t>
  </si>
  <si>
    <t xml:space="preserve">  39  4F*        :    23  3d8.(1D).4p            2F*  </t>
  </si>
  <si>
    <t xml:space="preserve">  40             :    33  3d8.(1D).4p            2P*  </t>
  </si>
  <si>
    <t xml:space="preserve">  52             :    20  3d7.(2G).4s.4p.(3P*)   4F*  </t>
  </si>
  <si>
    <t xml:space="preserve">  85             :     5  3d7.(2G).4s.4p.(3P*)   4F*  </t>
  </si>
  <si>
    <t xml:space="preserve">  77             :    11  3d7.(2G).4s.4p.(3P*)   4F*  </t>
  </si>
  <si>
    <t xml:space="preserve">  69             :    19  3d7.(2G).4s.4p.(3P*)   4F*  </t>
  </si>
  <si>
    <t xml:space="preserve">  29  4F*        :    23  3d8.(1D).4p            2D*  </t>
  </si>
  <si>
    <t>5*</t>
  </si>
  <si>
    <t>z 2S*</t>
  </si>
  <si>
    <t xml:space="preserve">  61             :    21  3d8.(3P).4p            2S*  </t>
  </si>
  <si>
    <t>3p6.3d7.(4P).4s.4p.(1P*)</t>
  </si>
  <si>
    <t xml:space="preserve">  42             :    33  3d7.(2P).4s.4p.(3P*)   4P*  </t>
  </si>
  <si>
    <t xml:space="preserve">  40             :    37  3d7.(4P).4s.4p.(3P*)   4P*  </t>
  </si>
  <si>
    <t>3p6.3d8.(3F).5s</t>
  </si>
  <si>
    <t>3p6.3d7.(2P).4s.4p.(3P*)</t>
  </si>
  <si>
    <t xml:space="preserve">  44             :    40  3d7.(4P).4s.4p.(1P*)   4P*  </t>
  </si>
  <si>
    <t>3p6.3d7.4s.(5F).5s</t>
  </si>
  <si>
    <t xml:space="preserve">  70             :     8  3d7.(4P).4s.4p.(3P*)   2D*  </t>
  </si>
  <si>
    <t xml:space="preserve">  72             :     7  3d8.(1D).4p            2D*  </t>
  </si>
  <si>
    <t>x 2G*</t>
  </si>
  <si>
    <t xml:space="preserve">  79             :    10  3d7.(2H).4s.4p.(3P*)   2G*  </t>
  </si>
  <si>
    <t xml:space="preserve">  80             :    10  3d7.(2H).4s.4p.(3P*)   2G*  </t>
  </si>
  <si>
    <t xml:space="preserve">  32             :    25  3d7.(4P).4s.4p.(3P*)   4S*  </t>
  </si>
  <si>
    <t xml:space="preserve">  44             :    22  3d8.(3P).4p            4P*  </t>
  </si>
  <si>
    <t xml:space="preserve">  30             :    24  3d7.(2P).4s.4p.(3P*)   4P*  </t>
  </si>
  <si>
    <t xml:space="preserve">  30             :    18  3d8.(3P).4p            4P*  </t>
  </si>
  <si>
    <t xml:space="preserve">  44             :    22  3d7.(2P).4s.4p.(3P*)   4D*  </t>
  </si>
  <si>
    <t xml:space="preserve">  28             :    25  3d7.(2P).4s.4p.(3P*)   4D*  </t>
  </si>
  <si>
    <t xml:space="preserve">  27             :    21  3d7.(a 2D).4s.4p.(3P*) 4D*  </t>
  </si>
  <si>
    <t xml:space="preserve">  61             :    14  3d7.(2P).4s.4p.(3P*)   2D*  </t>
  </si>
  <si>
    <t xml:space="preserve">  45             :    20  3d7.(2G).4s.4p.(3P*)   2F*  </t>
  </si>
  <si>
    <t xml:space="preserve">  16  2P*        :    14  3d8.(3P).4p            4D*  </t>
  </si>
  <si>
    <t xml:space="preserve">  27  2P*        :    12  3d8.(1D).4p            2P*  </t>
  </si>
  <si>
    <t xml:space="preserve">  26  4D*        :    23  3d7.(a 2D).4s.4p.(3P*) 4D*  </t>
  </si>
  <si>
    <t>y 2P*</t>
  </si>
  <si>
    <t xml:space="preserve">  46             :    30  3d8.(1D).4p            2P*  </t>
  </si>
  <si>
    <t xml:space="preserve">  33  2F*        :    22  3d7.(4P).4s.4p.(3P*)   2D*  </t>
  </si>
  <si>
    <t xml:space="preserve">  36  2F*        :    31  3d7.(2P).4s.4p.(3P*)   4D*  </t>
  </si>
  <si>
    <t xml:space="preserve">  45             :    13  3d7.(4P).4s.4p.(3P*)   2D*  </t>
  </si>
  <si>
    <t xml:space="preserve">  47             :    18  3d8.(3P).4p            4D*  </t>
  </si>
  <si>
    <t xml:space="preserve">  37  4D*        :    21  3d8.(3P).4p            2S*  </t>
  </si>
  <si>
    <t xml:space="preserve">  35  2S*        :    26  3d7.(2P).4s.4p.(3P*)   4D*  </t>
  </si>
  <si>
    <t>3p6.3d7.(a 2D).4s.4p.(3P*)</t>
  </si>
  <si>
    <t xml:space="preserve">  51             :    18  3d8.(3P).4p            4D*  </t>
  </si>
  <si>
    <t xml:space="preserve">  52             :    19  3d8.(3P).4p            4D*  </t>
  </si>
  <si>
    <t xml:space="preserve">  52             :    16  3d8.(3P).4p            4D*  </t>
  </si>
  <si>
    <t>3p6.3d7.(2H).4s.4p.(3P*)</t>
  </si>
  <si>
    <t xml:space="preserve">  84             :     4  3d7.(2G).4s.4p.(3P*)   2F*  </t>
  </si>
  <si>
    <t xml:space="preserve">  81             :     7  3d7.(2G).4s.4p.(3P*)   2F*  </t>
  </si>
  <si>
    <t xml:space="preserve">  40             :    15  3d7.(2P).4s.4p.(3P*)   4S*  </t>
  </si>
  <si>
    <t xml:space="preserve">  60             :    12  3d7.(2P).4s.4p.(3P*)   2S*  </t>
  </si>
  <si>
    <t xml:space="preserve">  21  4D*        :    22  3d7.(2P).4s.4p.(3P*)   4S*  </t>
  </si>
  <si>
    <t xml:space="preserve">  48             :    26  3d7.(a 2D).4s.4p.(3P*) 4D*  </t>
  </si>
  <si>
    <t xml:space="preserve">  34  4P*        :    32  3d7.(2P).4s.4p.(3P*)   2D*  </t>
  </si>
  <si>
    <t xml:space="preserve">  39  2D*        :    34  3d7.(4P).4s.4p.(3P*)   2P*  </t>
  </si>
  <si>
    <t xml:space="preserve">  75             :     6  3d7.(2P).4s.4p.(3P*)   4D*  </t>
  </si>
  <si>
    <t xml:space="preserve">  43             :    24  3d7.(2P).4s.4p.(3P*)   2D*  </t>
  </si>
  <si>
    <t xml:space="preserve">  50             :    15  3d7.(2P).4s.4p.(3P*)   2D*  </t>
  </si>
  <si>
    <t>3p6.3d8.(1G).4p</t>
  </si>
  <si>
    <t xml:space="preserve">  81             :     9  3d7.(2H).4s.4p.(3P*)   2H*  </t>
  </si>
  <si>
    <t xml:space="preserve">  69             :    17  3d7.(2H).4s.4p.(3P*)   2H*  </t>
  </si>
  <si>
    <t xml:space="preserve">  60             :    12  3d7.(a 2D).4s.4p.(3P*) 2F*  </t>
  </si>
  <si>
    <t xml:space="preserve">  57             :    17  3d7.(a 2D).4s.4p.(3P*) 2F*  </t>
  </si>
  <si>
    <t xml:space="preserve">  40             :    38  3d7.(2H).4s.4p.(3P*)   2G*  </t>
  </si>
  <si>
    <t xml:space="preserve">  38             :    37  3d7.(2H).4s.4p.(3P*)   2G*  </t>
  </si>
  <si>
    <t xml:space="preserve">  86             :    11  3d8.(1G).4p            2H*  </t>
  </si>
  <si>
    <t xml:space="preserve">  86             :     5  3d8.(1G).4p            2G*  </t>
  </si>
  <si>
    <t xml:space="preserve">  89             :     5  3d8.(1G).4p            2G*  </t>
  </si>
  <si>
    <t xml:space="preserve">  53             :    15  3d7.(a 2D).4s.4p.(3P*) 4D*  </t>
  </si>
  <si>
    <t xml:space="preserve">  71             :    13  3d7.(a 2D).4s.4p.(3P*) 4D*  </t>
  </si>
  <si>
    <t>3p6.3d8.(3F).4d</t>
  </si>
  <si>
    <t>e 4H</t>
  </si>
  <si>
    <t xml:space="preserve">  73             :    13  3d7.(2P).4s.4p.(3P*)   4P*  </t>
  </si>
  <si>
    <t xml:space="preserve">  57             :    17  3d7.(2P).4s.4p.(3P*)   2P*  </t>
  </si>
  <si>
    <t xml:space="preserve">  66             :    12  3d7.(2P).4s.4p.(3P*)   4P*  </t>
  </si>
  <si>
    <t>g 4F</t>
  </si>
  <si>
    <t>e 2P</t>
  </si>
  <si>
    <t>f 2F</t>
  </si>
  <si>
    <t>e 2H</t>
  </si>
  <si>
    <t>e 2G</t>
  </si>
  <si>
    <t>e 2D</t>
  </si>
  <si>
    <t>18*</t>
  </si>
  <si>
    <t>20*</t>
  </si>
  <si>
    <t>3p6.3d7.4s.(3F).5s</t>
  </si>
  <si>
    <t>g 2F</t>
  </si>
  <si>
    <t xml:space="preserve">  58             :    17  3d8.(1G).4p            2F*  </t>
  </si>
  <si>
    <t xml:space="preserve">  75             :    11  3d7.(2G).4s.4p.(3P*)   2F*  </t>
  </si>
  <si>
    <t>h 4F</t>
  </si>
  <si>
    <t>u 2D*</t>
  </si>
  <si>
    <t xml:space="preserve">  51             :    21  3d7.(2P).4s.4p.(3P*)   2D*  </t>
  </si>
  <si>
    <t xml:space="preserve">  49             :    18  3d7.(2P).4s.4p.(3P*)   2D*  </t>
  </si>
  <si>
    <t xml:space="preserve">  44             :    28  3d8.(1G).4p            2G*  </t>
  </si>
  <si>
    <t xml:space="preserve">  44             :    30  3d8.(1G).4p            2G*  </t>
  </si>
  <si>
    <t>3p6.3d7.4s.(5F).4d</t>
  </si>
  <si>
    <t>f 4H</t>
  </si>
  <si>
    <t>i 4F</t>
  </si>
  <si>
    <t>f 4P</t>
  </si>
  <si>
    <t>3p6.3d8.(3P).5s</t>
  </si>
  <si>
    <t>g 4P</t>
  </si>
  <si>
    <t>g 4H</t>
  </si>
  <si>
    <t>Co II (3d8 3F&lt;4&gt;)</t>
  </si>
  <si>
    <t>L10545</t>
  </si>
  <si>
    <t>3d10.4s</t>
  </si>
  <si>
    <t xml:space="preserve">                                                    </t>
  </si>
  <si>
    <t>L10559</t>
  </si>
  <si>
    <t>3d9.4s2</t>
  </si>
  <si>
    <t>L10559c152</t>
  </si>
  <si>
    <t>3d10.4p</t>
  </si>
  <si>
    <t xml:space="preserve">  96             :     4  3d9.(2D).4s.4p.(1P*) 2P*  </t>
  </si>
  <si>
    <t>3d9.(2D).4s.4p.(3P*)</t>
  </si>
  <si>
    <t xml:space="preserve">  89             :     8  3d9.(2D).4s.4p.(3P*) 2F*  </t>
  </si>
  <si>
    <t xml:space="preserve">  81             :    16  3d9.(2D).4s.4p.(3P*) 2F*  </t>
  </si>
  <si>
    <t>3d10.5s</t>
  </si>
  <si>
    <t>L18473c152</t>
  </si>
  <si>
    <t xml:space="preserve">  87             :    11  3d9.(2D).4s.4p.(3P*) 2F*  </t>
  </si>
  <si>
    <t xml:space="preserve">  43             :    33  3d9.(2D).4s.4p.(3P*) 2F*  </t>
  </si>
  <si>
    <t xml:space="preserve">  65             :    26  3d9.(2D).4s.4p.(3P*) 2D*  </t>
  </si>
  <si>
    <t xml:space="preserve">  64             :    33  3d9.(2D).4s.4p.(3P*) 2P*  </t>
  </si>
  <si>
    <t xml:space="preserve">  51             :    38  3d9.(2D).4s.4p.(3P*) 4D*  </t>
  </si>
  <si>
    <t xml:space="preserve">  78             :    11  3d9.(2D).4s.4p.(3P*) 4F*  </t>
  </si>
  <si>
    <t xml:space="preserve">  65             :    33  3d9.(2D).4s.4p.(3P*) 4D*  </t>
  </si>
  <si>
    <t xml:space="preserve">  55             :    35  3d9.(2D).4s.4p.(3P*) 2D*  </t>
  </si>
  <si>
    <t xml:space="preserve">  40  2P*        :    36  3d9.(2D).4s.4p.(3P*) 2D*  </t>
  </si>
  <si>
    <t xml:space="preserve">  83             :    15  3d9.(2D).4s.4p.(3P*) 4D*  </t>
  </si>
  <si>
    <t>3d10.5p</t>
  </si>
  <si>
    <t>3d10.4d</t>
  </si>
  <si>
    <t>L18473c152,L10559</t>
  </si>
  <si>
    <t>3d10.6s</t>
  </si>
  <si>
    <t>3d10.6p</t>
  </si>
  <si>
    <t>3d10.5d</t>
  </si>
  <si>
    <t>3d10.4f</t>
  </si>
  <si>
    <t>3d9.(2D).4s.4p.(1P*)</t>
  </si>
  <si>
    <t xml:space="preserve">  94             :     2  3d8.(3F).4s2.4p      2F*  </t>
  </si>
  <si>
    <t xml:space="preserve">  80             :    14  3d9.(2D).4s.4p.(1P*) 2D*  </t>
  </si>
  <si>
    <t xml:space="preserve">  92             :     4  3d8.(3P).4s2.4p      2P*  </t>
  </si>
  <si>
    <t xml:space="preserve">  96             :     4  3d8.(3P).4s2.4p      2P*  </t>
  </si>
  <si>
    <t xml:space="preserve">  75             :    15  3d9.(2D).4s.4p.(1P*) 2F*  </t>
  </si>
  <si>
    <t xml:space="preserve">  87             :     6  3d8.(3F).4s2.4p      2D*  </t>
  </si>
  <si>
    <t>3d10.7s</t>
  </si>
  <si>
    <t>3d10.7p</t>
  </si>
  <si>
    <t>3d10.6d</t>
  </si>
  <si>
    <t>3d10.5f</t>
  </si>
  <si>
    <t>3d10.5g</t>
  </si>
  <si>
    <t>3d10.8s</t>
  </si>
  <si>
    <t>3d10.7d</t>
  </si>
  <si>
    <t>3d10.6f</t>
  </si>
  <si>
    <t>3d10.6g</t>
  </si>
  <si>
    <t>3d10.6h</t>
  </si>
  <si>
    <t>9/2,11/2</t>
  </si>
  <si>
    <t>3d10.8p</t>
  </si>
  <si>
    <t>3d10.9s</t>
  </si>
  <si>
    <t>3d10.8d</t>
  </si>
  <si>
    <t>3d10.9p</t>
  </si>
  <si>
    <t>3d10.7f</t>
  </si>
  <si>
    <t>3d10.7g</t>
  </si>
  <si>
    <t>3d10.7h</t>
  </si>
  <si>
    <t>3d10.8f</t>
  </si>
  <si>
    <t>3d10.9d</t>
  </si>
  <si>
    <t>3d10.10p</t>
  </si>
  <si>
    <t>3d10.11p</t>
  </si>
  <si>
    <t>3d10.10d</t>
  </si>
  <si>
    <t>3d10.12p</t>
  </si>
  <si>
    <t>3d10.11d</t>
  </si>
  <si>
    <t>3d10.13p</t>
  </si>
  <si>
    <t>3d10.14p</t>
  </si>
  <si>
    <t>3d10.15p</t>
  </si>
  <si>
    <t>3d10.16p</t>
  </si>
  <si>
    <t>3d10.17p</t>
  </si>
  <si>
    <t>1/2,3/2</t>
  </si>
  <si>
    <t>3d10.18p</t>
  </si>
  <si>
    <t>3d10.19p</t>
  </si>
  <si>
    <t>3d10.20s</t>
  </si>
  <si>
    <t>3d10.20p</t>
  </si>
  <si>
    <t>3d10.21s</t>
  </si>
  <si>
    <t>3d10.21p</t>
  </si>
  <si>
    <t>3d10.22s</t>
  </si>
  <si>
    <t>3d10.22p</t>
  </si>
  <si>
    <t>3d10.23s</t>
  </si>
  <si>
    <t>3d10.23p</t>
  </si>
  <si>
    <t>3d10.24s</t>
  </si>
  <si>
    <t>3d10.24p</t>
  </si>
  <si>
    <t>3d10.25s</t>
  </si>
  <si>
    <t>3d10.25p</t>
  </si>
  <si>
    <t>3d10.26s</t>
  </si>
  <si>
    <t>3d10.26p</t>
  </si>
  <si>
    <t>3d10.27s</t>
  </si>
  <si>
    <t>3d10.27p</t>
  </si>
  <si>
    <t>3d10.28s</t>
  </si>
  <si>
    <t>3d10.28p</t>
  </si>
  <si>
    <t>3d10.29s</t>
  </si>
  <si>
    <t>3d10.29p</t>
  </si>
  <si>
    <t>3d10.30s</t>
  </si>
  <si>
    <t>3d10.30p</t>
  </si>
  <si>
    <t>3d10.31s</t>
  </si>
  <si>
    <t>3d10.31p</t>
  </si>
  <si>
    <t>3d10.32s</t>
  </si>
  <si>
    <t>3d10.32p</t>
  </si>
  <si>
    <t>3d10.33s</t>
  </si>
  <si>
    <t>3d10.33p</t>
  </si>
  <si>
    <t>3d10.34s</t>
  </si>
  <si>
    <t>3d10.34p</t>
  </si>
  <si>
    <t>3d10.35s</t>
  </si>
  <si>
    <t>3d10.35p</t>
  </si>
  <si>
    <t>3d10.36s</t>
  </si>
  <si>
    <t>3d10.36p</t>
  </si>
  <si>
    <t>3d10.37s</t>
  </si>
  <si>
    <t>3d10.37p</t>
  </si>
  <si>
    <t>3d10.38s</t>
  </si>
  <si>
    <t>3d10.38p</t>
  </si>
  <si>
    <t>3d10.39s</t>
  </si>
  <si>
    <t>3d10.39p</t>
  </si>
  <si>
    <t>3d10.40s</t>
  </si>
  <si>
    <t>3d10.40p</t>
  </si>
  <si>
    <t>3d10.41s</t>
  </si>
  <si>
    <t>3d10.41p</t>
  </si>
  <si>
    <t>3d10.42p</t>
  </si>
  <si>
    <t>3d10.43p</t>
  </si>
  <si>
    <t>3d10.44p</t>
  </si>
  <si>
    <t>3d10.45p</t>
  </si>
  <si>
    <t>3d10.46p</t>
  </si>
  <si>
    <t>3d10.47p</t>
  </si>
  <si>
    <t>3d10.48p</t>
  </si>
  <si>
    <t>3d10.49p</t>
  </si>
  <si>
    <t>3d10.50p</t>
  </si>
  <si>
    <t>3d10.51p</t>
  </si>
  <si>
    <t>3d10.52p</t>
  </si>
  <si>
    <t>3d10.53p</t>
  </si>
  <si>
    <t>3d10.54p</t>
  </si>
  <si>
    <t>3d10.55p</t>
  </si>
  <si>
    <t>3d10.56p</t>
  </si>
  <si>
    <t>3d10.57p</t>
  </si>
  <si>
    <t>Cu II (3d10 1S&lt;0&gt;)</t>
  </si>
  <si>
    <t>L14897</t>
  </si>
  <si>
    <t>3d9.4s.(3D).5s</t>
  </si>
  <si>
    <t xml:space="preserve">  82             :    12  3d9.4s.(1D).5s       2D   </t>
  </si>
  <si>
    <t xml:space="preserve">  73             :    15  3d9.4s.(3D).5s       2D   </t>
  </si>
  <si>
    <t xml:space="preserve">  87             :    13  3d9.4s.(3D).5s       4D   </t>
  </si>
  <si>
    <t xml:space="preserve">  55             :    26  3d9.4s.(3D).5s       4D   </t>
  </si>
  <si>
    <t>3d9.4s.(1D).5s</t>
  </si>
  <si>
    <t xml:space="preserve">  95             :     5  3d9.4s.(3D).5s       4D   </t>
  </si>
  <si>
    <t xml:space="preserve">  69             :    30  3d9.4s.(3D).5s       2D   </t>
  </si>
  <si>
    <t>3d9.4s.(3D).5p</t>
  </si>
  <si>
    <t>3d9.4s.(3D).4d</t>
  </si>
  <si>
    <t>L1923</t>
  </si>
  <si>
    <t>3d9.4s.(3D).6s</t>
  </si>
  <si>
    <t>3d9.4s.(1D).5p</t>
  </si>
  <si>
    <t>3/2,5/2</t>
  </si>
  <si>
    <t>3d9.4s.(1D).4d</t>
  </si>
  <si>
    <t>3d9.4s.(3D).5d</t>
  </si>
  <si>
    <t>3d9.4s.(3D).6p</t>
  </si>
  <si>
    <t>L10559c155</t>
  </si>
  <si>
    <t>3d9.4s.(3D&lt;3&gt;).4f</t>
  </si>
  <si>
    <t>3d9.4s.(3D&lt;2&gt;).4f</t>
  </si>
  <si>
    <t>3d9.4s.(3D).7s</t>
  </si>
  <si>
    <t>3d9.4s.(1D).6s</t>
  </si>
  <si>
    <t>3d9.4s.(3D&lt;1&gt;).4f&lt;5/2&gt;</t>
  </si>
  <si>
    <t>(1,5/2)*</t>
  </si>
  <si>
    <t>3d9.4s.(3D).6d</t>
  </si>
  <si>
    <t>3d9.4s.(3D).7p</t>
  </si>
  <si>
    <t>3d9.4s.(3D&lt;3&gt;).5f</t>
  </si>
  <si>
    <t>3d9.4s.(3D).8s</t>
  </si>
  <si>
    <t>3d9.4s.(3D&lt;2&gt;).5f</t>
  </si>
  <si>
    <t>3d9.4s.(1D).6p?</t>
  </si>
  <si>
    <t>3d9.4s.(3D).8p</t>
  </si>
  <si>
    <t>3d9.4s.(3D&lt;3&gt;).6f</t>
  </si>
  <si>
    <t>3d9.4s.(1D).5d</t>
  </si>
  <si>
    <t>3d9.4s.(3D).7p?</t>
  </si>
  <si>
    <t>3d9.4s.(3D&lt;1&gt;).7p</t>
  </si>
  <si>
    <t>3d9.4s.(3D&lt;1&gt;).5f&lt;5/2&gt;</t>
  </si>
  <si>
    <t>3d9.4s.(3D).9p</t>
  </si>
  <si>
    <t>3d9.4s.(3D&lt;3&gt;).7f</t>
  </si>
  <si>
    <t>3d9.4s.(3D&lt;2&gt;).6f</t>
  </si>
  <si>
    <t>3d9.4s.(3D&lt;3&gt;).10p&lt;3/2&gt;</t>
  </si>
  <si>
    <t>(3,3/2)*</t>
  </si>
  <si>
    <t>3d9.4s.(3D&lt;3&gt;).8f</t>
  </si>
  <si>
    <t>3d9.4s.(3D&lt;3&gt;).11p&lt;3/2&gt;</t>
  </si>
  <si>
    <t>3d9.4s.(3D&lt;3&gt;).9f</t>
  </si>
  <si>
    <t>3d9.4s.(3D&lt;2&gt;).7f</t>
  </si>
  <si>
    <t>3d9.4s.(3D&lt;3&gt;).12p&lt;3/2&gt;</t>
  </si>
  <si>
    <t>3d9.4s.(3D&lt;3&gt;).10f</t>
  </si>
  <si>
    <t>L9299</t>
  </si>
  <si>
    <t>3d9.4s.(3D&lt;1&gt;).6f&lt;5/2&gt;</t>
  </si>
  <si>
    <t>3d9.4s.(3D&lt;3&gt;).13p&lt;3/2&gt;</t>
  </si>
  <si>
    <t>3d9.4s.(3D&lt;3&gt;).11f</t>
  </si>
  <si>
    <t>3d9.4s.(3D&lt;2&gt;).10p&lt;3/2&gt;</t>
  </si>
  <si>
    <t>(2,3/2)*</t>
  </si>
  <si>
    <t>3d9.4s.(3D&lt;2&gt;).8f</t>
  </si>
  <si>
    <t>3d9.4s.(3D&lt;3&gt;).14p&lt;3/2&gt;</t>
  </si>
  <si>
    <t>3d9.4s.(3D&lt;3&gt;).12f</t>
  </si>
  <si>
    <t>3d9.4s.(3D&lt;3&gt;).15p&lt;3/2&gt;</t>
  </si>
  <si>
    <t>3d9.4s.(3D&lt;3&gt;).13f</t>
  </si>
  <si>
    <t>3d9.4s.(3D&lt;3&gt;).16p&lt;3/2&gt;</t>
  </si>
  <si>
    <t>3d9.4s.(3D&lt;3&gt;).14f</t>
  </si>
  <si>
    <t>3d9.4s.(3D&lt;3&gt;).17p&lt;3/2&gt;</t>
  </si>
  <si>
    <t>3d9.4s.(3D&lt;2&gt;).11p&lt;3/2&gt;</t>
  </si>
  <si>
    <t>3d9.4s.(3D&lt;3&gt;).18p&lt;3/2&gt;</t>
  </si>
  <si>
    <t>3d9.4s.(1D).7p?</t>
  </si>
  <si>
    <t>3d9.4s.(3D&lt;2&gt;).9f</t>
  </si>
  <si>
    <t>3d9.4s.(3D&lt;3&gt;).19p&lt;3/2&gt;</t>
  </si>
  <si>
    <t>3d9.4s.(3D&lt;3&gt;).20p&lt;3/2&gt;</t>
  </si>
  <si>
    <t>3d9.4s.(3D&lt;3&gt;).21p&lt;3/2&gt;</t>
  </si>
  <si>
    <t>3d9.4s.(3D&lt;2&gt;).12p&lt;3/2&gt;</t>
  </si>
  <si>
    <t>3d9.4s.(3D&lt;1&gt;).7f&lt;5/2&gt;</t>
  </si>
  <si>
    <t>3d9.4s.(3D&lt;2&gt;).10f</t>
  </si>
  <si>
    <t>3d9.4s.(3D&lt;2&gt;).13p&lt;3/2&gt;</t>
  </si>
  <si>
    <t>Cu II (3d9.4s 3D&lt;3&gt;)</t>
  </si>
  <si>
    <t>3d9.4s.(3D&lt;2&gt;).11f</t>
  </si>
  <si>
    <t>3d9.4s.(3D&lt;2&gt;).14p&lt;3/2&gt;</t>
  </si>
  <si>
    <t>3d9.4s.(3D&lt;2&gt;).12f</t>
  </si>
  <si>
    <t>3d9.4s.(3D&lt;2&gt;).15p&lt;3/2&gt;</t>
  </si>
  <si>
    <t>3d9.4s.(3D&lt;2&gt;).13f</t>
  </si>
  <si>
    <t>3d9.4s.(3D&lt;1&gt;).10p</t>
  </si>
  <si>
    <t>3d9.4s.(3D&lt;1&gt;).8f&lt;5/2&gt;</t>
  </si>
  <si>
    <t>3d9.4s.(3D&lt;2&gt;).16p&lt;3/2&gt;</t>
  </si>
  <si>
    <t>3d9.4s.(3D&lt;2&gt;).17p&lt;3/2&gt;</t>
  </si>
  <si>
    <t>3d9.4s.(3D&lt;2&gt;).18p&lt;3/2&gt;</t>
  </si>
  <si>
    <t>3d9.4s.(3D&lt;2&gt;).19p&lt;3/2&gt;</t>
  </si>
  <si>
    <t>3d9.4s.(3D&lt;2&gt;).20p&lt;3/2&gt;</t>
  </si>
  <si>
    <t>3d9.4s.(3D&lt;2&gt;).21p&lt;3/2&gt;</t>
  </si>
  <si>
    <t>3d9.4s.(3D&lt;1&gt;).11p</t>
  </si>
  <si>
    <t>3d9.4s.(3D&lt;1&gt;).9f&lt;5/2&gt;</t>
  </si>
  <si>
    <t>Cu II (3d9.4s 3D&lt;2&gt;)</t>
  </si>
  <si>
    <t>3d9.4s.(3D&lt;1&gt;).12p</t>
  </si>
  <si>
    <t>3d9.4s.(3D&lt;1&gt;).10f&lt;5/2&gt;</t>
  </si>
  <si>
    <t>3d9.4s.(1D).8p?</t>
  </si>
  <si>
    <t>3d9.4s.(3D&lt;1&gt;).13p</t>
  </si>
  <si>
    <t>3d9.4s.(3D&lt;1&gt;).11f&lt;5/2&gt;</t>
  </si>
  <si>
    <t>3d9.4s.(3D&lt;1&gt;).14p</t>
  </si>
  <si>
    <t>3d9.4s.(3D&lt;1&gt;).12f&lt;5/2&gt;</t>
  </si>
  <si>
    <t>3d9.4s.(3D&lt;1&gt;).15p</t>
  </si>
  <si>
    <t>3d9.4s.(3D&lt;1&gt;).13f&lt;5/2&gt;</t>
  </si>
  <si>
    <t>3d9.4s.(3D&lt;1&gt;).16p</t>
  </si>
  <si>
    <t>3d9.4s.(3D&lt;1&gt;).14f&lt;5/2&gt;</t>
  </si>
  <si>
    <t>3d9.4s.(3D&lt;1&gt;).17p</t>
  </si>
  <si>
    <t>3d9.4s.(3D&lt;1&gt;).18p</t>
  </si>
  <si>
    <t>3d9.4s.(3D&lt;1&gt;).19p</t>
  </si>
  <si>
    <t>3d9.4s.(3D&lt;1&gt;).20p</t>
  </si>
  <si>
    <t>3d9.4s.(3D&lt;1&gt;).21p</t>
  </si>
  <si>
    <t>3d9.4s.(1D).9p?</t>
  </si>
  <si>
    <t>Cu II (3d9.4s 3D&lt;1&gt;)</t>
  </si>
  <si>
    <t>3d9.4s.(1D).10p?</t>
  </si>
  <si>
    <t>3d9.4s.(1D).11p?</t>
  </si>
  <si>
    <t>Cu II (3d9.4s 1D&lt;2&gt;)</t>
  </si>
  <si>
    <t>3d10.4s2</t>
  </si>
  <si>
    <t>L9171</t>
  </si>
  <si>
    <t>3d10.4s.4p</t>
  </si>
  <si>
    <t>L9761</t>
  </si>
  <si>
    <t>3d10.4s.5s</t>
  </si>
  <si>
    <t>L9761,L4741</t>
  </si>
  <si>
    <t>3d10.4s.5p</t>
  </si>
  <si>
    <t>L4741,L18676</t>
  </si>
  <si>
    <t>L4741</t>
  </si>
  <si>
    <t>3d10.4s.4d</t>
  </si>
  <si>
    <t>L18676</t>
  </si>
  <si>
    <t>3d10.4s.6s</t>
  </si>
  <si>
    <t>L9761,L18676</t>
  </si>
  <si>
    <t>3d10.4s.6p</t>
  </si>
  <si>
    <t>3d10.4s.5d</t>
  </si>
  <si>
    <t>3d10.4s.4f</t>
  </si>
  <si>
    <t>3d10.4s.7s</t>
  </si>
  <si>
    <t>3d10.4s.7p</t>
  </si>
  <si>
    <t>3d10.4s.6d</t>
  </si>
  <si>
    <t>3d10.4s.5f</t>
  </si>
  <si>
    <t>3d10.4s.5g</t>
  </si>
  <si>
    <t>3d10.4s.8s</t>
  </si>
  <si>
    <t>L3428</t>
  </si>
  <si>
    <t>L3284</t>
  </si>
  <si>
    <t>3d10.4s.8p</t>
  </si>
  <si>
    <t>L3284,L18491</t>
  </si>
  <si>
    <t>L3641,L3284</t>
  </si>
  <si>
    <t>L18491,L3284</t>
  </si>
  <si>
    <t>3d10.4s.7d</t>
  </si>
  <si>
    <t>L3641</t>
  </si>
  <si>
    <t>3d10.4s.6f</t>
  </si>
  <si>
    <t>L18491</t>
  </si>
  <si>
    <t>3d10.4s.6g</t>
  </si>
  <si>
    <t>3d10.4s.6h</t>
  </si>
  <si>
    <t>(1/2,11/2)*</t>
  </si>
  <si>
    <t xml:space="preserve"> 100     or  :    55   1H*  </t>
  </si>
  <si>
    <t xml:space="preserve"> 100     or  :   100   3H*  </t>
  </si>
  <si>
    <t>(1/2,9/2)*</t>
  </si>
  <si>
    <t xml:space="preserve"> 100     or  :    55   3H*  </t>
  </si>
  <si>
    <t>3d10.4s.9s</t>
  </si>
  <si>
    <t>3d10.4s.9p</t>
  </si>
  <si>
    <t>3d10.4s.8d</t>
  </si>
  <si>
    <t>3d10.4s.7f</t>
  </si>
  <si>
    <t>3d10.4s.7g</t>
  </si>
  <si>
    <t>3d10.4s.7h</t>
  </si>
  <si>
    <t>3d10.4s.7i</t>
  </si>
  <si>
    <t>(1/2,11/2)</t>
  </si>
  <si>
    <t xml:space="preserve"> 100     or  :   100   3I   </t>
  </si>
  <si>
    <t xml:space="preserve"> 100     or  :    54   3I   </t>
  </si>
  <si>
    <t>(1/2,13/2)</t>
  </si>
  <si>
    <t xml:space="preserve"> 100     or  :    54   1I   </t>
  </si>
  <si>
    <t>3d10.4s.10s</t>
  </si>
  <si>
    <t>3d10.4s.9d</t>
  </si>
  <si>
    <t>3d10.4s.10p</t>
  </si>
  <si>
    <t>3d10.4s.8f</t>
  </si>
  <si>
    <t xml:space="preserve">                            </t>
  </si>
  <si>
    <t>3d10.4s.8g</t>
  </si>
  <si>
    <t>3d10.4s.8h</t>
  </si>
  <si>
    <t>3d10.4s.8i</t>
  </si>
  <si>
    <t xml:space="preserve"> 100     or  :    55   3I   </t>
  </si>
  <si>
    <t xml:space="preserve"> 100     or  :    55   1I   </t>
  </si>
  <si>
    <t>3d10.4s.11s</t>
  </si>
  <si>
    <t>3d10.4s.10d</t>
  </si>
  <si>
    <t>3d10.4s.11p</t>
  </si>
  <si>
    <t>L8903</t>
  </si>
  <si>
    <t>3d10.4s.9h</t>
  </si>
  <si>
    <t xml:space="preserve"> 100     or  :    56   3H*  </t>
  </si>
  <si>
    <t xml:space="preserve"> 100     or  :    56   1H*  </t>
  </si>
  <si>
    <t>3d10.4s.12s</t>
  </si>
  <si>
    <t>3d10.4s.11d</t>
  </si>
  <si>
    <t>3d10.4s.12p</t>
  </si>
  <si>
    <t>L13951</t>
  </si>
  <si>
    <t>3d10.4s.12d</t>
  </si>
  <si>
    <t>3d10.4s.13p</t>
  </si>
  <si>
    <t>3d10.4s.13d</t>
  </si>
  <si>
    <t>3d10.4s.14p</t>
  </si>
  <si>
    <t>3d10.4s.14d</t>
  </si>
  <si>
    <t>3d10.4s.15p</t>
  </si>
  <si>
    <t>3d10.4s.15d</t>
  </si>
  <si>
    <t>3d10.4s.16p</t>
  </si>
  <si>
    <t>L3641,L13951</t>
  </si>
  <si>
    <t>3d10.4s.16d</t>
  </si>
  <si>
    <t>3d10.4s.17p</t>
  </si>
  <si>
    <t>3d10.4s.17d</t>
  </si>
  <si>
    <t>3d10.4s.18p</t>
  </si>
  <si>
    <t>3d10.4s.18d</t>
  </si>
  <si>
    <t>3d10.4s.19p</t>
  </si>
  <si>
    <t>3d10.4s.19d</t>
  </si>
  <si>
    <t>3d10.4s.20p</t>
  </si>
  <si>
    <t>3d10.4s.20d</t>
  </si>
  <si>
    <t>3d10.4s.21p</t>
  </si>
  <si>
    <t>3d10.4s.22p</t>
  </si>
  <si>
    <t>3d10.4s.23p</t>
  </si>
  <si>
    <t>3d10.4s.24p</t>
  </si>
  <si>
    <t>3d10.4s.25p</t>
  </si>
  <si>
    <t>3d10.4s.26p</t>
  </si>
  <si>
    <t>3d10.4s.27p</t>
  </si>
  <si>
    <t>3d10.4s.28p</t>
  </si>
  <si>
    <t>3d10.4s.29p</t>
  </si>
  <si>
    <t>3d10.4s.30p</t>
  </si>
  <si>
    <t>3d10.4s.31p</t>
  </si>
  <si>
    <t>3d10.4s.32p</t>
  </si>
  <si>
    <t>3d10.4s.33p</t>
  </si>
  <si>
    <t>3d10.4s.34p</t>
  </si>
  <si>
    <t>3d10.4s.35p</t>
  </si>
  <si>
    <t>3d10.4s.36p</t>
  </si>
  <si>
    <t>3d10.4s.37p</t>
  </si>
  <si>
    <t>3d10.4s.38p</t>
  </si>
  <si>
    <t>3d10.4s.39p</t>
  </si>
  <si>
    <t>3d10.4s.40p</t>
  </si>
  <si>
    <t>3d10.4s.41p</t>
  </si>
  <si>
    <t>3d10.4s.42p</t>
  </si>
  <si>
    <t>3d10.4s.43p</t>
  </si>
  <si>
    <t>3d10.4s.44p</t>
  </si>
  <si>
    <t>3d10.4s.45p</t>
  </si>
  <si>
    <t>3d10.4s.46p</t>
  </si>
  <si>
    <t>3d10.4s.47p</t>
  </si>
  <si>
    <t>3d10.4s.48p</t>
  </si>
  <si>
    <t>3d10.4s.49p</t>
  </si>
  <si>
    <t>3d10.4s.50p</t>
  </si>
  <si>
    <t>3d10.4s.51p</t>
  </si>
  <si>
    <t>3d10.4s.52p</t>
  </si>
  <si>
    <t>3d10.4s.53p</t>
  </si>
  <si>
    <t>3d10.4s.54p</t>
  </si>
  <si>
    <t>3d10.4s.55p</t>
  </si>
  <si>
    <t>3d10.4s.56p</t>
  </si>
  <si>
    <t>3d10.4s.57p</t>
  </si>
  <si>
    <t>3d10.4s.58p</t>
  </si>
  <si>
    <t>3d10.4s.59p</t>
  </si>
  <si>
    <t>3d10.4s.60p</t>
  </si>
  <si>
    <t>3d10.4s.61p</t>
  </si>
  <si>
    <t>3d10.4s.62p</t>
  </si>
  <si>
    <t>3d10.4s.63p</t>
  </si>
  <si>
    <t>3d10.4s.64p</t>
  </si>
  <si>
    <t>3d10.4s.65p</t>
  </si>
  <si>
    <t>3d10.4s.66p</t>
  </si>
  <si>
    <t>Zn II (4s 2S&lt;1/2&gt;)</t>
  </si>
  <si>
    <t>3d10.4p2</t>
  </si>
  <si>
    <t>L736</t>
  </si>
  <si>
    <t>3d9.4s2.4p</t>
  </si>
  <si>
    <t>L242</t>
  </si>
  <si>
    <t>3d10.4p.(2P*&lt;1/2&gt;).5s</t>
  </si>
  <si>
    <t>L4256</t>
  </si>
  <si>
    <t>3d10.4p.(2P*&lt;3/2&gt;).5s</t>
  </si>
  <si>
    <t>3d10.4p.(2P*&lt;1/2&gt;).4d</t>
  </si>
  <si>
    <t>3d10.4p.(2P*&lt;1/2&gt;).6s</t>
  </si>
  <si>
    <t>3d10.4p.(2P*&lt;3/2&gt;).6s</t>
  </si>
  <si>
    <t>3d10.4p.(2P*&lt;1/2&gt;).5d</t>
  </si>
  <si>
    <t>3d10.4p.(2P*&lt;1/2&gt;).7s</t>
  </si>
  <si>
    <t>3d10.4p.(2P*&lt;3/2&gt;).5d</t>
  </si>
  <si>
    <t>3d10.4p.(2P*&lt;3/2&gt;).7s</t>
  </si>
  <si>
    <t>3d10.4p.(2P*&lt;1/2&gt;).6d</t>
  </si>
  <si>
    <t>3d10.4p.(2P*&lt;1/2&gt;).8s</t>
  </si>
  <si>
    <t>3d10.4p.(2P*&lt;3/2&gt;).6d</t>
  </si>
  <si>
    <t>3d10.4p.(2P*&lt;1/2&gt;).7d</t>
  </si>
  <si>
    <t>3d10.4p.(2P*&lt;3/2&gt;).8s</t>
  </si>
  <si>
    <t>3d10.4p.(2P*&lt;1/2&gt;).9s</t>
  </si>
  <si>
    <t>3d10.4p.(2P*&lt;1/2&gt;).10s</t>
  </si>
  <si>
    <t>3d10.4p.(2P*&lt;3/2&gt;).9s</t>
  </si>
  <si>
    <t>3d10.4p.(2P*&lt;1/2&gt;).8d</t>
  </si>
  <si>
    <t>3d10.4p.(2P*&lt;1/2&gt;).11s</t>
  </si>
  <si>
    <t>3d10.4p.(2P*&lt;1/2&gt;).12s</t>
  </si>
  <si>
    <t>3d10.4p.(2P*&lt;3/2&gt;).10s</t>
  </si>
  <si>
    <t>3d9.(2D&lt;5/2&gt;).4s2.5p</t>
  </si>
  <si>
    <t>L400</t>
  </si>
  <si>
    <t>3d10.4p.(2P*&lt;3/2&gt;).11s</t>
  </si>
  <si>
    <t>3d10.4p.(2P*&lt;1/2&gt;).16s</t>
  </si>
  <si>
    <t>3d10.4p.(2P*&lt;1/2&gt;).17s</t>
  </si>
  <si>
    <t>3d10.4p.(2P*&lt;3/2&gt;).12s</t>
  </si>
  <si>
    <t>3d10.4p.(2P*&lt;3/2&gt;).13s</t>
  </si>
  <si>
    <t>Zn II (4p 2P*&lt;1/2&gt;)</t>
  </si>
  <si>
    <t>3d10.4p.(2P*&lt;3/2&gt;).14s</t>
  </si>
  <si>
    <t>3d10.4p.(2P*&lt;3/2&gt;).15s</t>
  </si>
  <si>
    <t>3d10.4p.(2P*&lt;3/2&gt;).16s</t>
  </si>
  <si>
    <t>3d10.4p.(2P*&lt;3/2&gt;).17s</t>
  </si>
  <si>
    <t>3d10.4p.(2P*&lt;3/2&gt;).18s</t>
  </si>
  <si>
    <t>3d10.4p.(2P*&lt;3/2&gt;).19s</t>
  </si>
  <si>
    <t>3d10.4p.(2P*&lt;3/2&gt;).20s</t>
  </si>
  <si>
    <t>Zn II (4p 2P*&lt;3/2&gt;)</t>
  </si>
  <si>
    <t>3d9.(2D&lt;3/2&gt;).4s2.5p</t>
  </si>
  <si>
    <t>3d9.(2D&lt;5/2&gt;).4s2.6p</t>
  </si>
  <si>
    <t>3d9.(2D&lt;5/2&gt;).4s2.4f</t>
  </si>
  <si>
    <t>L6852</t>
  </si>
  <si>
    <t>3d9.(2D&lt;3/2&gt;).4s2.6p</t>
  </si>
  <si>
    <t>3d9.(2D&lt;5/2&gt;).4s2.7p</t>
  </si>
  <si>
    <t>3d9.(2D&lt;5/2&gt;).4s2.5f</t>
  </si>
  <si>
    <t>3d9.(2D&lt;3/2&gt;).4s2.4f</t>
  </si>
  <si>
    <t>3d9.(2D&lt;5/2&gt;).4s2.8p</t>
  </si>
  <si>
    <t>3d9.(2D&lt;5/2&gt;).4s2.6f</t>
  </si>
  <si>
    <t>3d9.(2D&lt;5/2&gt;).4s2.9p</t>
  </si>
  <si>
    <t>3d9.(2D&lt;5/2&gt;).4s2.7f</t>
  </si>
  <si>
    <t>3d9.(2D&lt;3/2&gt;).4s2.7p</t>
  </si>
  <si>
    <t>3d9.(2D&lt;5/2&gt;).4s2.10p</t>
  </si>
  <si>
    <t>3d9.(2D&lt;3/2&gt;).4s2.5f</t>
  </si>
  <si>
    <t>3d9.(2D&lt;5/2&gt;).4s2.8f</t>
  </si>
  <si>
    <t>3d9.(2D&lt;5/2&gt;).4s2.11p</t>
  </si>
  <si>
    <t>3d9.(2D&lt;5/2&gt;).4s2.9f</t>
  </si>
  <si>
    <t>3d9.(2D&lt;5/2&gt;).4s2.12p</t>
  </si>
  <si>
    <t>3d9.(2D&lt;5/2&gt;).4s2.10f</t>
  </si>
  <si>
    <t>3d9.(2D&lt;5/2&gt;).4s2.13p</t>
  </si>
  <si>
    <t>3d9.(2D&lt;5/2&gt;).4s2.11f</t>
  </si>
  <si>
    <t>3d9.(2D&lt;5/2&gt;).4s2.14p</t>
  </si>
  <si>
    <t>3d9.(2D&lt;5/2&gt;).4s2.12f</t>
  </si>
  <si>
    <t>3d9.(2D&lt;5/2&gt;).4s2.15p</t>
  </si>
  <si>
    <t>3d9.(2D&lt;3/2&gt;).4s2.8p</t>
  </si>
  <si>
    <t>3d9.(2D&lt;5/2&gt;).4s2.16p</t>
  </si>
  <si>
    <t>3d9.(2D&lt;5/2&gt;).4s2.17p</t>
  </si>
  <si>
    <t>3d9.(2D&lt;5/2&gt;).4s2.18p</t>
  </si>
  <si>
    <t>3d9.(2D&lt;5/2&gt;).4s2.19p</t>
  </si>
  <si>
    <t>3d9.(2D&lt;3/2&gt;).4s2.6f</t>
  </si>
  <si>
    <t>3d9.(2D&lt;5/2&gt;).4s2.20p</t>
  </si>
  <si>
    <t>3d9.(2D&lt;5/2&gt;).4s2.21p</t>
  </si>
  <si>
    <t>3d9.(2D&lt;5/2&gt;).4s2.22p</t>
  </si>
  <si>
    <t>3d9.(2D&lt;5/2&gt;).4s2.23p</t>
  </si>
  <si>
    <t>3d9.(2D&lt;5/2&gt;).4s2.24p</t>
  </si>
  <si>
    <t>3d9.(2D&lt;5/2&gt;).4s2.25p</t>
  </si>
  <si>
    <t>3d9.(2D&lt;5/2&gt;).4s2.26p</t>
  </si>
  <si>
    <t>3d9.(2D&lt;5/2&gt;).4s2.27p</t>
  </si>
  <si>
    <t>3d9.(2D&lt;5/2&gt;).4s2.28p</t>
  </si>
  <si>
    <t>3d9.(2D&lt;5/2&gt;).4s2.29p</t>
  </si>
  <si>
    <t>3d9.(2D&lt;5/2&gt;).4s2.30p</t>
  </si>
  <si>
    <t>3d9.(2D&lt;5/2&gt;).4s2.31p</t>
  </si>
  <si>
    <t>3d9.(2D&lt;5/2&gt;).4s2.32p</t>
  </si>
  <si>
    <t>3d9.(2D&lt;5/2&gt;).4s2.33p</t>
  </si>
  <si>
    <t>Zn II (3d9.4s2 2D&lt;5/2&gt;)</t>
  </si>
  <si>
    <t>3d9.(2D&lt;3/2&gt;).4s2.9p</t>
  </si>
  <si>
    <t>3d9.(2D&lt;3/2&gt;).4s2.7f</t>
  </si>
  <si>
    <t>3d9.(2D&lt;3/2&gt;).4s2.10p</t>
  </si>
  <si>
    <t>3d9.(2D&lt;3/2&gt;).4s2.8f</t>
  </si>
  <si>
    <t>3d9.(2D&lt;3/2&gt;).4s2.11p</t>
  </si>
  <si>
    <t>3d9.(2D&lt;3/2&gt;).4s2.9f</t>
  </si>
  <si>
    <t>3d9.(2D&lt;3/2&gt;).4s2.12p</t>
  </si>
  <si>
    <t>3d9.(2D&lt;3/2&gt;).4s2.10f</t>
  </si>
  <si>
    <t>3d9.(2D&lt;3/2&gt;).4s2.13p</t>
  </si>
  <si>
    <t>3d9.(2D&lt;3/2&gt;).4s2.11f</t>
  </si>
  <si>
    <t>3d9.(2D&lt;3/2&gt;).4s2.14p</t>
  </si>
  <si>
    <t>3d9.(2D&lt;3/2&gt;).4s2.12f</t>
  </si>
  <si>
    <t>3d9.(2D&lt;3/2&gt;).4s2.15p</t>
  </si>
  <si>
    <t>3d9.(2D&lt;3/2&gt;).4s2.13f</t>
  </si>
  <si>
    <t>3d9.(2D&lt;3/2&gt;).4s2.16p</t>
  </si>
  <si>
    <t>3d9.(2D&lt;3/2&gt;).4s2.14f</t>
  </si>
  <si>
    <t>3d9.(2D&lt;3/2&gt;).4s2.17p</t>
  </si>
  <si>
    <t>3d9.(2D&lt;3/2&gt;).4s2.15f</t>
  </si>
  <si>
    <t>3d9.(2D&lt;3/2&gt;).4s2.18p</t>
  </si>
  <si>
    <t>3d9.(2D&lt;3/2&gt;).4s2.16f</t>
  </si>
  <si>
    <t>3d9.(2D&lt;3/2&gt;).4s2.19p</t>
  </si>
  <si>
    <t>3d9.(2D&lt;3/2&gt;).4s2.20p</t>
  </si>
  <si>
    <t>3d9.(2D&lt;3/2&gt;).4s2.21p</t>
  </si>
  <si>
    <t>3d9.(2D&lt;3/2&gt;).4s2.22p</t>
  </si>
  <si>
    <t>3d9.(2D&lt;3/2&gt;).4s2.23p</t>
  </si>
  <si>
    <t>3d9.(2D&lt;3/2&gt;).4s2.24p</t>
  </si>
  <si>
    <t>3d9.(2D&lt;3/2&gt;).4s2.25p</t>
  </si>
  <si>
    <t>3d9.(2D&lt;3/2&gt;).4s2.26p</t>
  </si>
  <si>
    <t>3d9.(2D&lt;3/2&gt;).4s2.27p</t>
  </si>
  <si>
    <t>3d9.(2D&lt;3/2&gt;).4s2.28p</t>
  </si>
  <si>
    <t>Zn II (3d9.4s2 2D&lt;3/2&gt;)</t>
  </si>
  <si>
    <t>3d10.5s.7p</t>
  </si>
  <si>
    <t>3d10.5s.8p</t>
  </si>
  <si>
    <t>3d10.5s.9p</t>
  </si>
  <si>
    <t>3d10.5s.10p</t>
  </si>
  <si>
    <t>3d10.5s.11p</t>
  </si>
  <si>
    <t>3d10.5s.12p</t>
  </si>
  <si>
    <t>Zn II (5s 2S&lt;1/2&gt;)</t>
  </si>
  <si>
    <t>3d9.(2D).4s.4p.(3P*).5s</t>
  </si>
  <si>
    <t>3d9.(2D).4s.4p.(3P*).4d</t>
  </si>
  <si>
    <t>3d9.(2D).4s.4p.(3P*).6s</t>
  </si>
  <si>
    <t>3d9.(2D).4s.4p.(3P*).5d</t>
  </si>
  <si>
    <t>3d9.(2D).4s.4p.(3P*).7s</t>
  </si>
  <si>
    <t>3d9.(2D).4s.4p.(3P*).6d</t>
  </si>
  <si>
    <t>3d9.(2D).4s.4p.(3P*).8s</t>
  </si>
  <si>
    <t>3d9.(2D).4s.4p.(3P*).7d</t>
  </si>
  <si>
    <t>3d9.(2D).4s.4p.(3P*).9s</t>
  </si>
  <si>
    <t>3d9.(2D).4s.4p.(3P*).8d</t>
  </si>
  <si>
    <t>3d9.(2D).4s.4p.(3P*).10s</t>
  </si>
  <si>
    <t>3d9.(2D).4s.4p.(3P*).9d</t>
  </si>
  <si>
    <t>3d9.(2D).4s.4p.(3P*).11s</t>
  </si>
  <si>
    <t>3d9.(2D).4s.4p.(3P*).10d</t>
  </si>
  <si>
    <t>3d9.(2D).4s.4p.(3P*).11d</t>
  </si>
  <si>
    <t>3d9.(2D).4s.4p.(3P*).12d</t>
  </si>
  <si>
    <t>3d9.(2D).4s.4p.(3P*).13d</t>
  </si>
  <si>
    <t>3d9.(2D).4s.4p.(3P*).14d</t>
  </si>
  <si>
    <t>4d.5s2</t>
  </si>
  <si>
    <t>L7610</t>
  </si>
  <si>
    <t>5s2.5p</t>
  </si>
  <si>
    <t>4d2.(3F).5s</t>
  </si>
  <si>
    <t>4d.5s.(3D).5p</t>
  </si>
  <si>
    <t>4d2.(3P).5s</t>
  </si>
  <si>
    <t>4d2.(1D).5s</t>
  </si>
  <si>
    <t>4d2.(1G).5s</t>
  </si>
  <si>
    <t>1.18?</t>
  </si>
  <si>
    <t>1.28?</t>
  </si>
  <si>
    <t>4d2.(1S).5s</t>
  </si>
  <si>
    <t>4d.5s.(1D).5p</t>
  </si>
  <si>
    <t>x 2P*</t>
  </si>
  <si>
    <t>4d2.(3F).5p</t>
  </si>
  <si>
    <t>4d3</t>
  </si>
  <si>
    <t>5s2.6s</t>
  </si>
  <si>
    <t>e 2S</t>
  </si>
  <si>
    <t>4d3 &lt;1&gt;</t>
  </si>
  <si>
    <t>4d.5s.(3D).6s</t>
  </si>
  <si>
    <t>5p2.(3P).5s</t>
  </si>
  <si>
    <t>5s2.(2D).5d</t>
  </si>
  <si>
    <t>0.94?</t>
  </si>
  <si>
    <t>4d2.(3P).5p</t>
  </si>
  <si>
    <t>1.94?</t>
  </si>
  <si>
    <t>f 2D</t>
  </si>
  <si>
    <t>4d2.(1D).5p</t>
  </si>
  <si>
    <t>L3465</t>
  </si>
  <si>
    <t>4d.5s.(1D).6s</t>
  </si>
  <si>
    <t>5s2.(1S).6p</t>
  </si>
  <si>
    <t>4d3 &lt;2&gt;</t>
  </si>
  <si>
    <t>4d2.(1G).5p</t>
  </si>
  <si>
    <t>4d.5s.(3D).5d</t>
  </si>
  <si>
    <t>4d.5s.(3D).6p</t>
  </si>
  <si>
    <t>4d.5s.(1D).5d</t>
  </si>
  <si>
    <t>5p2.(1D).5s</t>
  </si>
  <si>
    <t>4d2.(3F).6s</t>
  </si>
  <si>
    <t>1.5*</t>
  </si>
  <si>
    <t>5p2.(3P).4d</t>
  </si>
  <si>
    <t>5s2.7s</t>
  </si>
  <si>
    <t>g 2S</t>
  </si>
  <si>
    <t>4d.5s.(3D).7s</t>
  </si>
  <si>
    <t>g 4D</t>
  </si>
  <si>
    <t>h 4D</t>
  </si>
  <si>
    <t>5p2.(3P).4d?</t>
  </si>
  <si>
    <t>f 2P</t>
  </si>
  <si>
    <t>Y II (5s2 1S&lt;0&gt;)</t>
  </si>
  <si>
    <t>L8844,L2111,L9735</t>
  </si>
  <si>
    <t>4d2.(3P).6s</t>
  </si>
  <si>
    <t>4d2.5s2</t>
  </si>
  <si>
    <t xml:space="preserve">  96  3F                                                              </t>
  </si>
  <si>
    <t xml:space="preserve">  97  3F                                                              </t>
  </si>
  <si>
    <t xml:space="preserve">  49  1D                            :    32  4d2.5s2             3P   </t>
  </si>
  <si>
    <t xml:space="preserve">  74  3P                            :    23  4d3.(2P).5s         3P   </t>
  </si>
  <si>
    <t xml:space="preserve">  74  3P                            :    24  4d3.(2P).5s         3P   </t>
  </si>
  <si>
    <t>4d3.(4F).5s</t>
  </si>
  <si>
    <t xml:space="preserve"> 100  5F                                                              </t>
  </si>
  <si>
    <t xml:space="preserve">  98  5F                                                              </t>
  </si>
  <si>
    <t xml:space="preserve">  99  5F                                                              </t>
  </si>
  <si>
    <t xml:space="preserve">  42  3P                            :    36  4d2.5s2             1D   </t>
  </si>
  <si>
    <t xml:space="preserve">  82  1G                            :    16  4d3.(2G).5s         1G   </t>
  </si>
  <si>
    <t>4d3.(4P).5s</t>
  </si>
  <si>
    <t xml:space="preserve"> 100  5P                                                              </t>
  </si>
  <si>
    <t xml:space="preserve">  99  5P                                                              </t>
  </si>
  <si>
    <t xml:space="preserve">                                                                      </t>
  </si>
  <si>
    <t xml:space="preserve">  51  3F                            :    46  4d3.(2G).5s         3G   </t>
  </si>
  <si>
    <t>4d3.(2G).5s</t>
  </si>
  <si>
    <t xml:space="preserve">  51  3G                            :    46  4d3.(4F).5s         3F   </t>
  </si>
  <si>
    <t xml:space="preserve">  95  3G                                                              </t>
  </si>
  <si>
    <t>4d3.(b 2D).5s</t>
  </si>
  <si>
    <t xml:space="preserve">  68  3D                            :    23  4d3.(2D1).5s        3D   </t>
  </si>
  <si>
    <t xml:space="preserve">  71  3D                            :    23  4d3.(2D1).5s        3D   </t>
  </si>
  <si>
    <t>4d2.5s.5p</t>
  </si>
  <si>
    <t xml:space="preserve">  81  4d2.(3F).5s.5p.(3P) 5G*       :     5  4d.5(1D)5s2.5p.(3P) 3F*  </t>
  </si>
  <si>
    <t xml:space="preserve">  87  4d2.(3P).5s.5p.(3P) 5G*                                         </t>
  </si>
  <si>
    <t xml:space="preserve">  93  4d2.(3F).5s.5p.(3P) 5G*                                         </t>
  </si>
  <si>
    <t xml:space="preserve">  96  4d2.(3F).5s.5p.(3P) 5G*                                         </t>
  </si>
  <si>
    <t>4d3.(2H).5s</t>
  </si>
  <si>
    <t xml:space="preserve">  96  3H                                                              </t>
  </si>
  <si>
    <t xml:space="preserve">  99  3H                                                              </t>
  </si>
  <si>
    <t xml:space="preserve">  65  3P                            :    17  4d3.(2P).5s         3P   </t>
  </si>
  <si>
    <t xml:space="preserve">  69  3P                            :    11  4d3.(2P).5s         3P   </t>
  </si>
  <si>
    <t xml:space="preserve">  79  3P                            :     9  4d4                 3P2  </t>
  </si>
  <si>
    <t xml:space="preserve">  20  4d2.(1D).5s.5p.(3P) 3F*       :    19  4d.5s2.5p           3F*  </t>
  </si>
  <si>
    <t xml:space="preserve">  24  4d2.(1D).5s.5p.(3P) 3F*       :    22  4d.5s2.5p           3F*  </t>
  </si>
  <si>
    <t xml:space="preserve">  70  4d2.(3F).5s.5p.(3P) 5F*       :     9  4d.5(3F)5s2.5p.(3P) 3D*  </t>
  </si>
  <si>
    <t xml:space="preserve">  73  4d2.(3F).5s.5p.(3P) 5F*       :     6  4d.5(3F)5s2.5p.(3P) 3D*  </t>
  </si>
  <si>
    <t xml:space="preserve">  89  4d2.(3F).5s.5p.(3P) 5F*                                         </t>
  </si>
  <si>
    <t xml:space="preserve">  88  4d2.(3F).5s.5p.(3P) 5F*                                         </t>
  </si>
  <si>
    <t>4d3.(2P).5s</t>
  </si>
  <si>
    <t xml:space="preserve">  50  3P                            :    26  4d3.(2P).5s         1P   </t>
  </si>
  <si>
    <t xml:space="preserve">  61  3P                            :    19  4d2.5s2             3P   </t>
  </si>
  <si>
    <t xml:space="preserve">  57  3P                            :    25  4d3.(4P).5s         3P   </t>
  </si>
  <si>
    <t xml:space="preserve">  63  1D                            :    11  4d3.(2D1).5s        1D   </t>
  </si>
  <si>
    <t xml:space="preserve">  22  4d2.(3F).5s.5p.(3P) 3D*       :    21  4d.5(3F)5s2.5p.(3P) 5F*  </t>
  </si>
  <si>
    <t xml:space="preserve">  20  4d2.(3F).5s.5p.(3P) 3D*       :    11  4d.5s2.5p           1D*  </t>
  </si>
  <si>
    <t xml:space="preserve">  27  4d2.(3F).5s.5p.(3P) 3D*       :    21  4d.5s2.5p           3D*  </t>
  </si>
  <si>
    <t>4d.5s2.5p</t>
  </si>
  <si>
    <t xml:space="preserve">  47  4d.5s2.5p 1D*                 :    18  4d.5(1D)5s2.5p.(1P) 1D*  </t>
  </si>
  <si>
    <t>4d2.5s.(a 4F).5p</t>
  </si>
  <si>
    <t xml:space="preserve">  28  4d2.(1D).5s.5p.(3P) 3F*       :    24  4d2.(3F).5s.5p.(3P) 3F*  </t>
  </si>
  <si>
    <t xml:space="preserve">  80  1G                            :    16  4d2.5s2             1G   </t>
  </si>
  <si>
    <t xml:space="preserve">  93  4d2.(3F).5s.5p.(3P) 5F*                                         </t>
  </si>
  <si>
    <t xml:space="preserve"> 100  1H                                                              </t>
  </si>
  <si>
    <t xml:space="preserve">  75  4d2.(3F).5s.5p.(3P) 5D*       :    10  4d2.(3P).5s.5p.(3P) 5D*  </t>
  </si>
  <si>
    <t xml:space="preserve">  81  4d2.(3F).5s.5p.(3P) 5D*       :     5  4d.5(3P)5s2.5p.(3P) 5D*  </t>
  </si>
  <si>
    <t xml:space="preserve">  71  4d2.(3F).5s.5p.(3P) 5D*       :     9  4d.5(1D)5s2.5p.(3P) 3P*  </t>
  </si>
  <si>
    <t xml:space="preserve">  73  4d2.(3F).5s.5p.(3P) 5D*                                         </t>
  </si>
  <si>
    <t xml:space="preserve">  89  4d2.(3F).5s.5p.(3P) 5D*                                         </t>
  </si>
  <si>
    <t xml:space="preserve">  37  4d2.(1D).5s.5p.(3P) 3P*       :    24  4d.5s2.5p           3P*  </t>
  </si>
  <si>
    <t xml:space="preserve">  51  4d2.(1D).5s.5p.(3P) 3P*       :    19  4d.5s2.5p           3P*  </t>
  </si>
  <si>
    <t xml:space="preserve">  50  4d2.(1D).5s.5p.(3P) 3P*       :    21  4d.5s2.5p           3P*  </t>
  </si>
  <si>
    <t>1S*</t>
  </si>
  <si>
    <t>[</t>
  </si>
  <si>
    <t>]</t>
  </si>
  <si>
    <t xml:space="preserve">  48  4d2.(3P).5s.5p.(3P) 1S*       :    37  4d.5(2P).5p         1S*  </t>
  </si>
  <si>
    <t>4d4</t>
  </si>
  <si>
    <t xml:space="preserve">  99  5D                                                              </t>
  </si>
  <si>
    <t xml:space="preserve"> 100  5D                                                              </t>
  </si>
  <si>
    <t xml:space="preserve">  62  4d2.(3F).5s.5p.(3P) 3G*       :    22  4d.5(1G)5s2.5p.(3P) 3G*  </t>
  </si>
  <si>
    <t xml:space="preserve">  61  4d2.(3F).5s.5p.(3P) 3G*       :    24  4d2.(1G).5s.5p.(3P) 3G*  </t>
  </si>
  <si>
    <t xml:space="preserve">  53  4d2.(3F).5s.5p.(3P) 3G*       :    30  4d2.(1G).5s.5p.(3P) 3G*  </t>
  </si>
  <si>
    <t xml:space="preserve">  66  4d2.(3P).5s.5p.(3P) 3S*       :    17  4d.5(2P).5p         3S*  </t>
  </si>
  <si>
    <t xml:space="preserve">  39  4d2.(3F).5s.5p.(3P) 1D*       :    25  4d.5(3P)5s2.5p.(3P) 1D*  </t>
  </si>
  <si>
    <t xml:space="preserve">  27  4d2.(3P).5s.5p.(3P) 3D*       :    18  4d.5s2.5p           3D*  </t>
  </si>
  <si>
    <t xml:space="preserve">  18  4d2.(3P).5s.5p.(3P) 3D*       :    15  4d.5(3P)5s2.5p.(3P) 3F*  </t>
  </si>
  <si>
    <t xml:space="preserve">  19  4d2.(3P).5s.5p.(3P) 3D*       :    17  4d.5s2.5p           3D*  </t>
  </si>
  <si>
    <t xml:space="preserve">  88  4d2.(3P).5s.5p.(3P) 5S*                                         </t>
  </si>
  <si>
    <t xml:space="preserve">  81  4d2.(3P).5s.5p.(3P) 5D*       :    14  4d.5(3P)5s2.5p.(3P) 5D*  </t>
  </si>
  <si>
    <t xml:space="preserve">  79  4d2.(3P).5s.5p.(3P) 5D*       :    11  4d.5(3F)5s2.5p.(3P) 5D*  </t>
  </si>
  <si>
    <t xml:space="preserve">  68  4d2.(3P).5s.5p.(3P) 5D*       :     9  4d.5(3P)5s2.5p.(3P) 5D*  </t>
  </si>
  <si>
    <t xml:space="preserve">  57  4d2.(3P).5s.5p.(3P) 5D*       :     9  4d2.(3F).5s.5p.(3P) 1F*  </t>
  </si>
  <si>
    <t xml:space="preserve">  84  4d2.(3P).5s.5p.(3P) 5D*       :     5  4d2.(3F).5s.5p.(3P) 5D*  </t>
  </si>
  <si>
    <t xml:space="preserve">  51  4d2.(3F).5s.5p.(3P) 3F*       :    11  4d.5s2.5p           3F*  </t>
  </si>
  <si>
    <t xml:space="preserve">  21  4d2.(3F).5s.5p.(3P) 3F*       :    21  4d.5(3P)5s2.5p.(3P) 5D*  </t>
  </si>
  <si>
    <t xml:space="preserve">  58  4d2.(3F).5s.5p.(3P) 3F*       :     9  4d2.(1D).5s.5p.(3P) 3F*  </t>
  </si>
  <si>
    <t xml:space="preserve">  38  4d2.(3F).5s.5p.(3P) 1F*       :    12  4d2.(3P).5s.5p.(3P) 3D*  </t>
  </si>
  <si>
    <t xml:space="preserve">  93  4d2.(3P).5s.5p.(3P) 5P*                                         </t>
  </si>
  <si>
    <t xml:space="preserve">  72  4d2.(3P).5s.5p.(3P) 5P*       :    16  4d.5(4F).5p         5G*  </t>
  </si>
  <si>
    <t xml:space="preserve">  82  4d2.(3P).5s.5p.(3P) 5P*                                         </t>
  </si>
  <si>
    <t>4d3.5p</t>
  </si>
  <si>
    <t xml:space="preserve">  76  4d3.(4F).5p 5G*               :    17  4d.5(3P)5s2.5p.(3P) 5P*  </t>
  </si>
  <si>
    <t xml:space="preserve">  66  4d3.(4F).5p 5G*               :     9  4d2.(3F).5s.5p.(3P) 3G*  </t>
  </si>
  <si>
    <t xml:space="preserve">  81  4d3.(4F).5p 5G*               :     6  4d2.(1G).5s.5p.(3P) 3G*  </t>
  </si>
  <si>
    <t xml:space="preserve">  22  4d2.(1G).5s.5p.(3P) 3G*       :    17  4d3.(4F).5p         5G*  </t>
  </si>
  <si>
    <t xml:space="preserve">  25  4d2.(1G).5s.5p.(3P) 3G*       :    24  4d2.(3F).5s.5p.(3P) 3G*  </t>
  </si>
  <si>
    <t xml:space="preserve">  31  4d2.(1G).5s.5p.(3P) 3G*       :    27  4d2.(3F).5s.5p.(3P) 3G*  </t>
  </si>
  <si>
    <t>4d2.5s.(a 2D).5p</t>
  </si>
  <si>
    <t xml:space="preserve">  35  4d2.(1D).5s.5p.(3P) 3F*       :    24  4d.5(3F)5s2.5p.(1P) 3F*  </t>
  </si>
  <si>
    <t xml:space="preserve">  25  4d2.(1D).5s.5p.(3P) 3F*       :    22  4d2.(3F).5s.5p.(1P) 3F*  </t>
  </si>
  <si>
    <t xml:space="preserve">  24  4d2.(1D).5s.5p.(3P) 3F*       :    21  4d2.(3F).5s.5p.(1P) 3F*  </t>
  </si>
  <si>
    <t xml:space="preserve">  53  4d2.(1D).5s.5p.(3P) 3D*       :    13  4d.5(3F)5s2.5p.(3P) 3D*  </t>
  </si>
  <si>
    <t xml:space="preserve">  50  4d2.(1D).5s.5p.(3P) 3D*       :    12  4d.5(3P)5s2.5p.(3P) 3D*  </t>
  </si>
  <si>
    <t xml:space="preserve">  50  4d2.(1D).5s.5p.(3P) 3D*       :    14  4d2.(3P).5s.5p.(3P) 5P*  </t>
  </si>
  <si>
    <t xml:space="preserve">  30  4d.5s2.5p 1F*                 :    17  4d2.(1G).5s.5p.(1P) 1F*  </t>
  </si>
  <si>
    <t>4d3.(4F).5p</t>
  </si>
  <si>
    <t xml:space="preserve">  85  4d3.(4F).5p 5G*               :     5  4d2.(1G).5s.5p.(3P) 3G*  </t>
  </si>
  <si>
    <t xml:space="preserve">  96  4d3.(4F).5p 5G*                                                 </t>
  </si>
  <si>
    <t xml:space="preserve">  28  4d3.(4F).5p 3D*               :    22  4d.5(3F)5s2.5p.(3P) 3D*  </t>
  </si>
  <si>
    <t xml:space="preserve">  32  4d3.(4F).5p 3D*               :    17  4d.5(3F)5s2.5p.(3P) 3D*  </t>
  </si>
  <si>
    <t xml:space="preserve">  36  4d3.(4F).5p 3D*               :    18  4d2.(3F).5s.5p.(1P) 3D*  </t>
  </si>
  <si>
    <t>4d2.5s.(a 2F).5p</t>
  </si>
  <si>
    <t xml:space="preserve">  62  4d2.(3F).5s.5p.(3P) 1G*       :     7  4d2.(3F).5s.5p.(1P) 3F*  </t>
  </si>
  <si>
    <t xml:space="preserve">  39  4d2.(3P).5s.5p.(3P) 3P*       :    37  4d.5(2P).5p         3P*  </t>
  </si>
  <si>
    <t xml:space="preserve">  42  4d2.(3P).5s.5p.(3P) 3P*       :    38  4d.5(2P).5p         3P*  </t>
  </si>
  <si>
    <t xml:space="preserve">  38  4d2.(3P).5s.5p.(3P) 3P*       :    21  4d.5(2P).5p         3P*  </t>
  </si>
  <si>
    <t xml:space="preserve">  32  4d.5s2.5p 3F*                 :    24  4d.5(1G)5s2.5p.(3P) 3F*  </t>
  </si>
  <si>
    <t xml:space="preserve">  24  4d.5s2.5p 3F*                 :    19  4d2.(1G).5s.5p.(3P) 3F*  </t>
  </si>
  <si>
    <t xml:space="preserve">  62  4d2.(1G).5s.5p.(3P) 3H*       :    26  4d3.(2G).5p         3H*  </t>
  </si>
  <si>
    <t xml:space="preserve">  66  4d2.(1G).5s.5p.(3P) 3H*       :    26  4d3.(2G).5p         3H*  </t>
  </si>
  <si>
    <t xml:space="preserve">  66  4d2.(1G).5s.5p.(3P) 3H*       :    24  4d3.(2G).5p         3H*  </t>
  </si>
  <si>
    <t xml:space="preserve">  37  4d2.(3F).5s.5p.(1P) 3G*       :    16  4d2.(1G).5s.5p.(3P) 3G*  </t>
  </si>
  <si>
    <t xml:space="preserve">  40  4d2.(3F).5s.5p.(1P) 3G*       :    14  4d2.(1G).5s.5p.(3P) 3G*  </t>
  </si>
  <si>
    <t xml:space="preserve">  43  4d2.(3F).5s.5p.(1P) 3G*       :    17  4d3.(4F).5p         3G*  </t>
  </si>
  <si>
    <t xml:space="preserve">  94  4d3.(4F).5p 5F*                                                 </t>
  </si>
  <si>
    <t xml:space="preserve">  96  4d3.(4F).5p 5F*                                                 </t>
  </si>
  <si>
    <t xml:space="preserve">  24  4d.5s2.5p 3F*                 :    22  4d2.(1G).5s.5p.(3P) 3F*  </t>
  </si>
  <si>
    <t xml:space="preserve">  30  4d2.(3P).5s.5p.(1P) 3P*       :    18  4d.5s2.5p           3P*  </t>
  </si>
  <si>
    <t xml:space="preserve">  28  4d2.(3P).5s.5p.(1P) 3P*       :    16  4d.5s2.5p           3P*  </t>
  </si>
  <si>
    <t xml:space="preserve">  30  4d2.(3P).5s.5p.(1P) 3P*       :    26  4d.5(2P).5p         3P*  </t>
  </si>
  <si>
    <t xml:space="preserve">  18  4d2.(3F).5s.5p.(1P) 3D*       :    16  4d.5(3P)5s2.5p.(3P) 3D*  </t>
  </si>
  <si>
    <t xml:space="preserve">  23  4d2.(3F).5s.5p.(1P) 3D*       :    20  4d.5(3P)5s2.5p.(3P) 3D*  </t>
  </si>
  <si>
    <t xml:space="preserve">  23  4d2.(3F).5s.5p.(1P) 3D*       :    23  4d2.(3P).5s.5p.(3P) 3D*  </t>
  </si>
  <si>
    <t xml:space="preserve">  32  4d2.(3P).5s.5p.(3P) 1P*       :    31  4d.5s2.5p           1P*  </t>
  </si>
  <si>
    <t xml:space="preserve">  90  4d3.(4F).5p 5F*               :     5  4d2.(3F).5s.5p.(1P) 3G*  </t>
  </si>
  <si>
    <t xml:space="preserve">  90  4d3.(4F).5p 5D*                                                 </t>
  </si>
  <si>
    <t xml:space="preserve">  88  4d3.(4F).5p 5D*                                                 </t>
  </si>
  <si>
    <t xml:space="preserve">  87  4d3.(4F).5p 5D*                                                 </t>
  </si>
  <si>
    <t xml:space="preserve">  86  4d3.(4F).5p 5D*                                                 </t>
  </si>
  <si>
    <t xml:space="preserve">  89  4d3.(4F).5p 5D*                                                 </t>
  </si>
  <si>
    <t xml:space="preserve">  69  4d3.(4F).5p 3G*               :    11  4d2.(3F).5s.5p.(1P) 3G*  </t>
  </si>
  <si>
    <t xml:space="preserve">  67  4d3.(4F).5p 3G*               :    13  4d2.(3F).5s.5p.(1P) 3G*  </t>
  </si>
  <si>
    <t xml:space="preserve">  62  4d3.(4F).5p 3G*               :    12  4d2.(3F).5s.5p.(1P) 3G*  </t>
  </si>
  <si>
    <t xml:space="preserve">  33  4d.5s2.5p 1P*                 :    32  4d2.(2D).5s.5p.(1P) 1P*  </t>
  </si>
  <si>
    <t xml:space="preserve">  36  4d2.(3F).5s.5p.(3P) 1D*       :    28  4d.5(3P)5s2.5p.(3P) 1D*  </t>
  </si>
  <si>
    <t xml:space="preserve">  51  4d2.(3P).5s.5p.(1P) 3S*       :    21  4d.5(4P).5p         3S*  </t>
  </si>
  <si>
    <t xml:space="preserve">  34  4d3.(4F).5p 3F*               :    26  4d.5(2G).5p         3F*  </t>
  </si>
  <si>
    <t xml:space="preserve">  22  4d3.(4F).5p 3F*               :    16  4d3.(2G).5p         3F*  </t>
  </si>
  <si>
    <t xml:space="preserve">  33  4d3.(4F).5p 3F*               :    27  4d3.(2G).5p         3F*  </t>
  </si>
  <si>
    <t xml:space="preserve">  28  4d2.(1D).5s.5p.(1P) 1F*       :    23  4d3.(2G).5p         1F*  </t>
  </si>
  <si>
    <t xml:space="preserve">  91  4d3.(4P).5p 5D*                                                 </t>
  </si>
  <si>
    <t xml:space="preserve">  86  4d3.(4P).5p 5D*                                                 </t>
  </si>
  <si>
    <t xml:space="preserve">  90  4d3.(4P).5p 5D*                                                 </t>
  </si>
  <si>
    <t xml:space="preserve">  93  4d3.(4P).5p 5D*                                                 </t>
  </si>
  <si>
    <t xml:space="preserve">  29  4d3.(4P).5p 3D*               :    19  4d.5(3F)5s2.5p.(1P) 3D*  </t>
  </si>
  <si>
    <t xml:space="preserve">  31  4d3.(4P).5p 3D*               :    18  4d.5(3F)5s2.5p.(1P) 3D*  </t>
  </si>
  <si>
    <t xml:space="preserve">  35  4d3.(4P).5p 3D*               :    14  4d2.(3F).5s.5p.(1P) 3D*  </t>
  </si>
  <si>
    <t xml:space="preserve">  51  4d2.(1G).5s.5p.(1P) 1G*       :    35  4d3.(2H).5p         1G*  </t>
  </si>
  <si>
    <t xml:space="preserve">  47  4d3.(2G).5p 1H*               :    21  4d2.(1G).5s.5p.(1P) 1H*  </t>
  </si>
  <si>
    <t xml:space="preserve">  55  4d3.(2G).5p 3H*               :    22  4d2.(1G).5s.5p.(3P) 3H*  </t>
  </si>
  <si>
    <t xml:space="preserve">  53  4d3.(2G).5p 3H*               :    28  4d2.(1G).5s.5p.(3P) 3H*  </t>
  </si>
  <si>
    <t xml:space="preserve">  53  4d3.(2G).5p 3H*               :    27  4d2.(1G).5s.5p.(3P) 3H*  </t>
  </si>
  <si>
    <t xml:space="preserve">  95  4d3.(4P).5p 5P*                                                 </t>
  </si>
  <si>
    <t xml:space="preserve">  92  4d3.(4P).5p 5P*                                                 </t>
  </si>
  <si>
    <t xml:space="preserve">  22  4d3.(2D2).5p 1D*              :    19  4d.5s2.5p           1D*  </t>
  </si>
  <si>
    <t xml:space="preserve">  68  4d3.(4P).5p 3P*               :    14  4d.5(2D2).5p        3P*  </t>
  </si>
  <si>
    <t xml:space="preserve">  65  4d3.(4P).5p 3P*               :    14  4d.5(2D2).5p        3P*  </t>
  </si>
  <si>
    <t xml:space="preserve">  53  4d3.(4P).5p 3P*               :    12  4d.5(2D2).5p        3P*  </t>
  </si>
  <si>
    <t>4d2.5s.(4F).6s</t>
  </si>
  <si>
    <t xml:space="preserve">  23  4d2.(1G).5s.5p.(3P) 3F*       :    12  4d.5(3F)5s2.5p.(1P) 3F*  </t>
  </si>
  <si>
    <t xml:space="preserve">  26  4d2.(1G).5s.5p.(3P) 3F*       :    14  4d2.(3F).5s.6p.(1P) 3F*  </t>
  </si>
  <si>
    <t xml:space="preserve">  23  4d2.(1G).5s.5p.(3P) 3F*       :    17  4d2.(3F).5s.6p.(1P) 3F*  </t>
  </si>
  <si>
    <t xml:space="preserve">  92  4d3.(2H).5p 3I*               :     6  4d3.(2G).5p         3H*  </t>
  </si>
  <si>
    <t xml:space="preserve">  88  4d3.(2H).5p 3I*               :     9  4d3.(2G).5p         3H*  </t>
  </si>
  <si>
    <t xml:space="preserve">  90  4d3.(4P).5p 5S*               :     5  4d.5(3P)5s2.5p.(3P) 5S*  </t>
  </si>
  <si>
    <t xml:space="preserve">  26  4d2.(3P).5s.5p.(1P) 3D*       :    13  4d.5(3P)5s2.5p.(3P) 3D*  </t>
  </si>
  <si>
    <t xml:space="preserve">  15  4d2.(3P).5s.5p.(1P) 3D*       :    10  4d2.(3P).5s.5p.(3P) 3D*  </t>
  </si>
  <si>
    <t xml:space="preserve">  24  4d2.(3P).5s.5p.(1P) 3D*       :    12  4d.5(3P)5s2.5p.(3P) 3D*  </t>
  </si>
  <si>
    <t xml:space="preserve">  49  4d3.(2G).5p 1G*               :    15  4d3.(2H).5p         3H*  </t>
  </si>
  <si>
    <t xml:space="preserve">  80  4d3.(2H).5p 3H*               :    14  4d3.(2G).5p         3H*  </t>
  </si>
  <si>
    <t xml:space="preserve">  37  4d3.(2H).5p 3H*               :    35  4d3.(2G).5p         1G*  </t>
  </si>
  <si>
    <t xml:space="preserve">  83  4d3.(2H).5p 3H*               :    10  4d3.(2G).5p         3H*  </t>
  </si>
  <si>
    <t xml:space="preserve">  17  4d3.(2G).5p 1F*               :    14  4d3.(2G).5p         3G*  </t>
  </si>
  <si>
    <t xml:space="preserve">  36  4d3.(2G).5p 3G*               :    11  4d3.(2G).5p         1F*  </t>
  </si>
  <si>
    <t xml:space="preserve">  56  4d3.(2G).5p 3G*               :    10  4d2.(1G).5s.5p.(3P) 3G*  </t>
  </si>
  <si>
    <t xml:space="preserve">  67  4d3.(2G).5p 3G*               :    13  4d2.(1G).5s.5p.(3P) 3G*  </t>
  </si>
  <si>
    <t xml:space="preserve">  30  4d3.(2D2).5p 1P*              :    16  4d.5(3P)5s2.5p.(3P) 1P*  </t>
  </si>
  <si>
    <t xml:space="preserve">  36  4d3.(2G).5p 3F*               :    13  4d.5(2D2).5p        3F*  </t>
  </si>
  <si>
    <t xml:space="preserve">  30  4d3.(2D2).5p 3F*              :    11  4d3.(4F).5p         3F*  </t>
  </si>
  <si>
    <t xml:space="preserve">  37  4d3.(2D2).5p 3F*              :    20  4d3.(2G).5p         3F*  </t>
  </si>
  <si>
    <t xml:space="preserve">  18  4d3.(2D2).5p 3P*              :    18  4d.5(3P)5s2.5p.(3P) 3P*  </t>
  </si>
  <si>
    <t xml:space="preserve">  19  4d3.(2D2).5p 3P*              :    15  4d.5(3P)5s2.5p.(3P) 3P*  </t>
  </si>
  <si>
    <t xml:space="preserve">  46  4d3.(2D2).5p 3D*              :    23  4d.5(4P).5p         3D*  </t>
  </si>
  <si>
    <t xml:space="preserve">  43  4d3.(2D2).5p 3D*              :    23  4d.5(4P).5p         3D*  </t>
  </si>
  <si>
    <t xml:space="preserve">  45  4d3.(2D2).5p 3D*              :    21  4d3.(4P).5p         3D*  </t>
  </si>
  <si>
    <t xml:space="preserve">  95  4d3.(2H).5p 1I*                                                 </t>
  </si>
  <si>
    <t xml:space="preserve">  45  4d3.(2G).5p 3F*               :    23  4d.5(3F)5s2.5p.(1P) 3F*  </t>
  </si>
  <si>
    <t xml:space="preserve">  43  4d3.(2G).5p 3F*               :    13  4d2.(3F).5s.6p.(1P) 3F*  </t>
  </si>
  <si>
    <t xml:space="preserve">  35  4d3.(2G).5p 3F*               :    27  4d3.(2D2).5p        3F*  </t>
  </si>
  <si>
    <t>4d2.5s.6p</t>
  </si>
  <si>
    <t xml:space="preserve">  27  4d2.(3F).5s.6p.(1P) 3G*       :    18  4d3.(2H).5p         3G*  </t>
  </si>
  <si>
    <t xml:space="preserve">  38  4d2.(3F).5s.6p.(1P) 3G*       :    31  4d3.(2H).5p         3G*  </t>
  </si>
  <si>
    <t xml:space="preserve">  36  4d2.(3F).5s.6p.(1P) 3G*       :    35  4d3.(2G).5p         3H*  </t>
  </si>
  <si>
    <t xml:space="preserve">  21  4d3.(2D2).5p 1P*              :    18  4d.5s2.5p           1P*  </t>
  </si>
  <si>
    <t xml:space="preserve">  26  4d3.(2D2).5p 1F*              :    18  4d2.(3F).5s.6p.(1P) 3G*  </t>
  </si>
  <si>
    <t xml:space="preserve">  50  4d3.(2H).5p 1H*               :    31  4d3.(2G).5p         1H*  </t>
  </si>
  <si>
    <t>4d2.5s.(4F).5d</t>
  </si>
  <si>
    <t xml:space="preserve">  70  4d2.(1S).5s.5p.(3P) 3P*                                         </t>
  </si>
  <si>
    <t>4d3.(2F).5p</t>
  </si>
  <si>
    <t>v 1D*</t>
  </si>
  <si>
    <t>4d3.(4F).6s</t>
  </si>
  <si>
    <t xml:space="preserve">  52  4d3.(2P).5p 3S*               :    23  4d.5(4P).5p         3S*  </t>
  </si>
  <si>
    <t>4d3.(2H).5p</t>
  </si>
  <si>
    <t>w 1G*</t>
  </si>
  <si>
    <t>4d2.5s.6p?</t>
  </si>
  <si>
    <t xml:space="preserve">  20  4d3.(2P).5p 3D*               :    13  4d.5(2F).5p         3D*  </t>
  </si>
  <si>
    <t>s 3P*</t>
  </si>
  <si>
    <t>p 3D*</t>
  </si>
  <si>
    <t>4d2.5p2</t>
  </si>
  <si>
    <t>4d2.5s.5p?</t>
  </si>
  <si>
    <t>4d2.5s.7p?</t>
  </si>
  <si>
    <t>v 1P*</t>
  </si>
  <si>
    <t>Zr II (4d2.5s 4F&lt;3/2&gt;)</t>
  </si>
  <si>
    <t>L21107</t>
  </si>
  <si>
    <t>4d4.(5D).5s</t>
  </si>
  <si>
    <t>4d3.5s2</t>
  </si>
  <si>
    <t>4d4.(3H).5s</t>
  </si>
  <si>
    <t>4d5</t>
  </si>
  <si>
    <t>4d4.(3G).5s</t>
  </si>
  <si>
    <t>4d4.(b 3F).5s</t>
  </si>
  <si>
    <t>4d4.(a 3P).5s</t>
  </si>
  <si>
    <t>4d4.(3D).5s</t>
  </si>
  <si>
    <t>4d3.5s.(5F).5p</t>
  </si>
  <si>
    <t>L9102</t>
  </si>
  <si>
    <t>4d4.5s</t>
  </si>
  <si>
    <t>L12172</t>
  </si>
  <si>
    <t>4d3.5s.(a 3F).5p</t>
  </si>
  <si>
    <t>4d4.(5D).5p</t>
  </si>
  <si>
    <t>4d4.(a 3P).5p</t>
  </si>
  <si>
    <t>4d3.5s.(5P).5p</t>
  </si>
  <si>
    <t>4d4.(3H).5p</t>
  </si>
  <si>
    <t>4d3.5s.(c 3P).5p</t>
  </si>
  <si>
    <t>276*</t>
  </si>
  <si>
    <t>4d3.5s.(3G).5p</t>
  </si>
  <si>
    <t>4d4.(b 3F).5p</t>
  </si>
  <si>
    <t>4d4.(a 1D).5p</t>
  </si>
  <si>
    <t>309*</t>
  </si>
  <si>
    <t>4d3.5s.5p</t>
  </si>
  <si>
    <t>313*</t>
  </si>
  <si>
    <t>4d3.5s.(1G).5p</t>
  </si>
  <si>
    <t>4d4.(3D).5p</t>
  </si>
  <si>
    <t>4d4.(3G).5p</t>
  </si>
  <si>
    <t>4d4.(a 1G).5p</t>
  </si>
  <si>
    <t>4d3.5s.(1P).5p</t>
  </si>
  <si>
    <t>4d3.5s.(b 1D).5p</t>
  </si>
  <si>
    <t>4d3.5s.(3H).5p</t>
  </si>
  <si>
    <t>4d3.5s.(1H).5p</t>
  </si>
  <si>
    <t>4d3.5s.(b 3P).5p</t>
  </si>
  <si>
    <t>4d4.5p</t>
  </si>
  <si>
    <t>353*</t>
  </si>
  <si>
    <t>4I*</t>
  </si>
  <si>
    <t>4d4.(c 3F).5p</t>
  </si>
  <si>
    <t>4d4.(5D).6s</t>
  </si>
  <si>
    <t>4d3.5s.(b 3D).5p</t>
  </si>
  <si>
    <t>4d3.5s.(5F).6s</t>
  </si>
  <si>
    <t>4d3.5s.(d 3F).5p</t>
  </si>
  <si>
    <t>4d4.(1I).5p</t>
  </si>
  <si>
    <t>r 4F*</t>
  </si>
  <si>
    <t>400*</t>
  </si>
  <si>
    <t>s 4G*</t>
  </si>
  <si>
    <t>4d3.5s.(1F).5p</t>
  </si>
  <si>
    <t>q 2F*</t>
  </si>
  <si>
    <t>407*</t>
  </si>
  <si>
    <t>411*</t>
  </si>
  <si>
    <t>414*</t>
  </si>
  <si>
    <t>416*</t>
  </si>
  <si>
    <t>4d4.(1F).5p</t>
  </si>
  <si>
    <t>p 2F*</t>
  </si>
  <si>
    <t>s 2D*</t>
  </si>
  <si>
    <t>o 2F*</t>
  </si>
  <si>
    <t>n 2F*</t>
  </si>
  <si>
    <t>m 2F*</t>
  </si>
  <si>
    <t>4d3.5s.(a 3F).6p</t>
  </si>
  <si>
    <t>n 4F*</t>
  </si>
  <si>
    <t>469*</t>
  </si>
  <si>
    <t>o 2G*</t>
  </si>
  <si>
    <t>475*</t>
  </si>
  <si>
    <t>n 2G*</t>
  </si>
  <si>
    <t>Nb II (4d4 5D&lt;0&gt;)</t>
  </si>
  <si>
    <t>L6829</t>
  </si>
  <si>
    <t>4d5.(6S).5s</t>
  </si>
  <si>
    <t>L10502</t>
  </si>
  <si>
    <t>4d4.5s2</t>
  </si>
  <si>
    <t>4d5.(4G).5s</t>
  </si>
  <si>
    <t>4d5.(4P).5s</t>
  </si>
  <si>
    <t>4d5.(4D).5s</t>
  </si>
  <si>
    <t>a 1S</t>
  </si>
  <si>
    <t>4d6</t>
  </si>
  <si>
    <t>4d5.(2I).5s</t>
  </si>
  <si>
    <t>4d5.(6S).5p</t>
  </si>
  <si>
    <t>4d5.(4F).5s</t>
  </si>
  <si>
    <t>4d5.(2D).5s</t>
  </si>
  <si>
    <t>4d5.(2F).5s</t>
  </si>
  <si>
    <t>4d4.5s.(6D).5p</t>
  </si>
  <si>
    <t>4d5.(2H).5s</t>
  </si>
  <si>
    <t>4d5.(2G).5s</t>
  </si>
  <si>
    <t>c 3H</t>
  </si>
  <si>
    <t>4d4.5s.(4D).5p</t>
  </si>
  <si>
    <t>1*</t>
  </si>
  <si>
    <t>4d5.(4G).5p</t>
  </si>
  <si>
    <t>c 1I</t>
  </si>
  <si>
    <t>4d5.(6S).6s</t>
  </si>
  <si>
    <t>2*</t>
  </si>
  <si>
    <t>4d5.(4P).5p</t>
  </si>
  <si>
    <t>3*</t>
  </si>
  <si>
    <t>3.1*</t>
  </si>
  <si>
    <t>4d5.(4D).5p</t>
  </si>
  <si>
    <t>3.2*</t>
  </si>
  <si>
    <t>3.3*</t>
  </si>
  <si>
    <t>3.4*</t>
  </si>
  <si>
    <t>4d4.5s.(4H).5p</t>
  </si>
  <si>
    <t>3.5*</t>
  </si>
  <si>
    <t>4d5.(6S).5d</t>
  </si>
  <si>
    <t>3.6*</t>
  </si>
  <si>
    <t>3.7*</t>
  </si>
  <si>
    <t>4d5.(2G).5p</t>
  </si>
  <si>
    <t>4d4.5s.(4F).5p</t>
  </si>
  <si>
    <t>4d5.(4F).5p</t>
  </si>
  <si>
    <t>5.1*</t>
  </si>
  <si>
    <t>4d5.(2I).5p</t>
  </si>
  <si>
    <t>4d5.(2D).5p</t>
  </si>
  <si>
    <t>17.1*</t>
  </si>
  <si>
    <t>18.1*</t>
  </si>
  <si>
    <t>19.1*</t>
  </si>
  <si>
    <t>4d5.(2F).5p</t>
  </si>
  <si>
    <t>4d5.(6S).7s</t>
  </si>
  <si>
    <t>24.1*</t>
  </si>
  <si>
    <t>25.1*</t>
  </si>
  <si>
    <t>4d4.5s.(4G).5p</t>
  </si>
  <si>
    <t>26.1*</t>
  </si>
  <si>
    <t>t 5F*</t>
  </si>
  <si>
    <t>29.1*</t>
  </si>
  <si>
    <t>4d4.5s.(4P).5p</t>
  </si>
  <si>
    <t>4d4.5s.(6D).6s</t>
  </si>
  <si>
    <t>30.1*</t>
  </si>
  <si>
    <t>4d5.(6S).6d</t>
  </si>
  <si>
    <t>39.1*</t>
  </si>
  <si>
    <t>41.1*</t>
  </si>
  <si>
    <t>42.1*</t>
  </si>
  <si>
    <t>43.1*</t>
  </si>
  <si>
    <t>50.1*</t>
  </si>
  <si>
    <t>54.1*</t>
  </si>
  <si>
    <t>59.1*</t>
  </si>
  <si>
    <t>63*</t>
  </si>
  <si>
    <t>63.1*</t>
  </si>
  <si>
    <t>64*</t>
  </si>
  <si>
    <t>65*</t>
  </si>
  <si>
    <t>66*</t>
  </si>
  <si>
    <t>67*</t>
  </si>
  <si>
    <t>67.1*</t>
  </si>
  <si>
    <t>68*</t>
  </si>
  <si>
    <t>69*</t>
  </si>
  <si>
    <t>70*</t>
  </si>
  <si>
    <t>71*</t>
  </si>
  <si>
    <t>72*</t>
  </si>
  <si>
    <t>73*</t>
  </si>
  <si>
    <t>74*</t>
  </si>
  <si>
    <t>75*</t>
  </si>
  <si>
    <t>76*</t>
  </si>
  <si>
    <t>77*</t>
  </si>
  <si>
    <t>78*</t>
  </si>
  <si>
    <t>79*</t>
  </si>
  <si>
    <t>80*</t>
  </si>
  <si>
    <t>81*</t>
  </si>
  <si>
    <t>82*</t>
  </si>
  <si>
    <t>83*</t>
  </si>
  <si>
    <t>84*</t>
  </si>
  <si>
    <t>85*</t>
  </si>
  <si>
    <t>86*</t>
  </si>
  <si>
    <t>87*</t>
  </si>
  <si>
    <t>88*</t>
  </si>
  <si>
    <t>89*</t>
  </si>
  <si>
    <t>90*</t>
  </si>
  <si>
    <t>91*</t>
  </si>
  <si>
    <t>92*</t>
  </si>
  <si>
    <t>93*</t>
  </si>
  <si>
    <t>94*</t>
  </si>
  <si>
    <t>95*</t>
  </si>
  <si>
    <t>96*</t>
  </si>
  <si>
    <t>97*</t>
  </si>
  <si>
    <t>98*</t>
  </si>
  <si>
    <t>99*</t>
  </si>
  <si>
    <t>100*</t>
  </si>
  <si>
    <t>101*</t>
  </si>
  <si>
    <t>102*</t>
  </si>
  <si>
    <t>103*</t>
  </si>
  <si>
    <t>4d5.(2H).5p</t>
  </si>
  <si>
    <t>104*</t>
  </si>
  <si>
    <t>105*</t>
  </si>
  <si>
    <t>106*</t>
  </si>
  <si>
    <t>107*</t>
  </si>
  <si>
    <t>108*</t>
  </si>
  <si>
    <t>Mo II (4d5 6S&lt;5/2&gt;)</t>
  </si>
  <si>
    <t>109*</t>
  </si>
  <si>
    <t>110*</t>
  </si>
  <si>
    <t>111*</t>
  </si>
  <si>
    <t>112*</t>
  </si>
  <si>
    <t>113*</t>
  </si>
  <si>
    <t>114*</t>
  </si>
  <si>
    <t>115*</t>
  </si>
  <si>
    <t>116*</t>
  </si>
  <si>
    <t>117*</t>
  </si>
  <si>
    <t>118*</t>
  </si>
  <si>
    <t>119*</t>
  </si>
  <si>
    <t>120*</t>
  </si>
  <si>
    <t>4d5.5s2</t>
  </si>
  <si>
    <t>6S</t>
  </si>
  <si>
    <t>L149,L14280</t>
  </si>
  <si>
    <t>4d6.(5D).5s</t>
  </si>
  <si>
    <t xml:space="preserve">  89         :     8  4d5.5s2              4D   </t>
  </si>
  <si>
    <t xml:space="preserve">  82         :     9  4d5.5s2              4D   </t>
  </si>
  <si>
    <t xml:space="preserve">  86         :    10  4d5.5s2              4D   </t>
  </si>
  <si>
    <t xml:space="preserve">  88         :    10  4d5.5s2              4D   </t>
  </si>
  <si>
    <t>4d6.(3P2).5s</t>
  </si>
  <si>
    <t xml:space="preserve">  43         :    19  4d5.5s2              4P   </t>
  </si>
  <si>
    <t xml:space="preserve">  41         :    25  4d5.5s2              4P   </t>
  </si>
  <si>
    <t xml:space="preserve">  40         :    30  4d5.5s2              4P   </t>
  </si>
  <si>
    <t>4d7</t>
  </si>
  <si>
    <t xml:space="preserve">  46         :    36  4d6.(3F2).5s         4F   </t>
  </si>
  <si>
    <t xml:space="preserve">  30         :    21  4d6.(3F2).5s         4F   </t>
  </si>
  <si>
    <t xml:space="preserve">  41         :    18  4d6.(3F2).5s         4F   </t>
  </si>
  <si>
    <t xml:space="preserve">  39         :    22  4d6.(3F2).5s         4F   </t>
  </si>
  <si>
    <t>4d6.(3F2).5s</t>
  </si>
  <si>
    <t xml:space="preserve">  41         :    38  4d7                  4F   </t>
  </si>
  <si>
    <t xml:space="preserve">  45         :    36  4d7                  4F   </t>
  </si>
  <si>
    <t xml:space="preserve">  49         :    35  4d7                  4F   </t>
  </si>
  <si>
    <t xml:space="preserve">  26         :    37  4d7                  4F   </t>
  </si>
  <si>
    <t xml:space="preserve">  40         :    39  4d6.(3G).5s          4G   </t>
  </si>
  <si>
    <t xml:space="preserve">  41         :    34  4d6.(3G).5s          4G   </t>
  </si>
  <si>
    <t xml:space="preserve">  47         :    30  4d6.(3G).5s          4G   </t>
  </si>
  <si>
    <t xml:space="preserve">  64         :    31  4d6.(3G).5s          4G   </t>
  </si>
  <si>
    <t>4d5.(6S).5s.(7S).5p</t>
  </si>
  <si>
    <t>4d6.(3H).5s</t>
  </si>
  <si>
    <t xml:space="preserve">  77         :    18  4d5.5s2              4G   </t>
  </si>
  <si>
    <t xml:space="preserve">  79         :    15  4d5.5s2              4G   </t>
  </si>
  <si>
    <t xml:space="preserve">  76         :    19  4d5.5s2              4G   </t>
  </si>
  <si>
    <t>4d6.(3D).5s</t>
  </si>
  <si>
    <t xml:space="preserve">  32         :    26  4d5.5s2              4D   </t>
  </si>
  <si>
    <t xml:space="preserve">  50         :    40  4d5.5s2              4D   </t>
  </si>
  <si>
    <t xml:space="preserve">  48         :    39  4d5.5s2              4D   </t>
  </si>
  <si>
    <t xml:space="preserve">  32         :    38  4d5.5s2              4D   </t>
  </si>
  <si>
    <t xml:space="preserve">  42         :    42  4d6.(3D).5s          4D   </t>
  </si>
  <si>
    <t xml:space="preserve">  27         :    27  4d6.(3D).5s          4D   </t>
  </si>
  <si>
    <t xml:space="preserve">  41         :    39  4d6.(3D).5s          4D   </t>
  </si>
  <si>
    <t xml:space="preserve">  11         :    17  4d5.5s2              4D   </t>
  </si>
  <si>
    <t xml:space="preserve">  13         :    18  4d6.(3D).5s          4D   </t>
  </si>
  <si>
    <t xml:space="preserve">  26         :     9  4d6.(3D).5s          2D   </t>
  </si>
  <si>
    <t>4d6.(3G).5s</t>
  </si>
  <si>
    <t xml:space="preserve">  28         :    41  4d6.(3H).5s          2H   </t>
  </si>
  <si>
    <t xml:space="preserve">  48         :    28  4d5.5s2              4G   </t>
  </si>
  <si>
    <t xml:space="preserve">  55         :    26  4d5.5s2              4G   </t>
  </si>
  <si>
    <t xml:space="preserve">  44         :    19  4d5.5s2              4G   </t>
  </si>
  <si>
    <t xml:space="preserve">  13         :    22  4d6.(3F2).5s         2F   </t>
  </si>
  <si>
    <t xml:space="preserve">  21         :    20  4d7                  4F   </t>
  </si>
  <si>
    <t xml:space="preserve">  51         :    27  4d6.(3G).5s          2G   </t>
  </si>
  <si>
    <t xml:space="preserve">  45         :    29  4d6.(3G).5s          4G   </t>
  </si>
  <si>
    <t xml:space="preserve">  30         :    21  4d7                  2G   </t>
  </si>
  <si>
    <t xml:space="preserve">  55         :    21  4d7                  2G   </t>
  </si>
  <si>
    <t xml:space="preserve">  32         :    18  4d6.(3D).5s          2D   </t>
  </si>
  <si>
    <t xml:space="preserve">  47         :    22  4d6.(3P1).5s         4P   </t>
  </si>
  <si>
    <t xml:space="preserve">  70         :    17  4d6.(5D).5p          6P*  </t>
  </si>
  <si>
    <t xml:space="preserve">  70         :    14  4d6.(5D).5p          6P*  </t>
  </si>
  <si>
    <t xml:space="preserve">  71         :    12  4d6.(5D).5p          6P*  </t>
  </si>
  <si>
    <t>L149</t>
  </si>
  <si>
    <t>4d6.(1G2).5s</t>
  </si>
  <si>
    <t xml:space="preserve">  53         :    12  4d5.5s2              2G2  </t>
  </si>
  <si>
    <t xml:space="preserve">  45         :    12  4d5.5s2              2G2  </t>
  </si>
  <si>
    <t>4d6.(1I).5s</t>
  </si>
  <si>
    <t xml:space="preserve">  90         :     9  4d5.5s2              2I   </t>
  </si>
  <si>
    <t xml:space="preserve">  83         :    12  4d5.5s2              2I   </t>
  </si>
  <si>
    <t>4d6.(1D2).5s</t>
  </si>
  <si>
    <t xml:space="preserve">  15         :    32  4d7                  4P   </t>
  </si>
  <si>
    <t xml:space="preserve">  42         :    13  4d6.(1D2).5s         2D   </t>
  </si>
  <si>
    <t xml:space="preserve">  34         :    12  4d5.5s2              4P   </t>
  </si>
  <si>
    <t xml:space="preserve">  76         :    12  4d6.(1I).5s          2I   </t>
  </si>
  <si>
    <t xml:space="preserve">  91         :     9  4d6.(1I).5s          2I   </t>
  </si>
  <si>
    <t>2F1</t>
  </si>
  <si>
    <t xml:space="preserve">  33         :    24  4d6.(1F).5s          2F   </t>
  </si>
  <si>
    <t xml:space="preserve">  25         :    21  4d6.(1F).5s          2F   </t>
  </si>
  <si>
    <t>4d6.(5D).5p</t>
  </si>
  <si>
    <t xml:space="preserve">  84         :     8  4d5.(4D).5s.(5D).5p  6D*  </t>
  </si>
  <si>
    <t xml:space="preserve">  81         :     9  4d5.(4D).5s.(5D).5p  6D*  </t>
  </si>
  <si>
    <t xml:space="preserve">  82         :    10  4d5.(4D).5s.(5D).5p  6D*  </t>
  </si>
  <si>
    <t xml:space="preserve">  84         :    11  4d5.(4D).5s.(5D).5p  6D*  </t>
  </si>
  <si>
    <t xml:space="preserve">  32         :    23  4d7                  2H   </t>
  </si>
  <si>
    <t xml:space="preserve">  56         :    15  4d6.(3G).5s          2G   </t>
  </si>
  <si>
    <t xml:space="preserve">  66         :    18  4d5.5s2              2H   </t>
  </si>
  <si>
    <t xml:space="preserve">  35         :    21  4d5.5s2              2H   </t>
  </si>
  <si>
    <t xml:space="preserve">  79         :     6  4d7                  4F   </t>
  </si>
  <si>
    <t xml:space="preserve">  88         :     7  4d5.(4D).5s.(5D).5p  6F*  </t>
  </si>
  <si>
    <t xml:space="preserve">  59         :    23  4d6.(5D).5p          4F*  </t>
  </si>
  <si>
    <t xml:space="preserve">  69         :    11  4d6.(5D).5p          4F*  </t>
  </si>
  <si>
    <t xml:space="preserve">  74         :     8  4d5.(4D).5s.(5D).5p  6F*  </t>
  </si>
  <si>
    <t xml:space="preserve">  77         :     9  4d5.(4D).5s.(5D).5p  6F*  </t>
  </si>
  <si>
    <t xml:space="preserve">  80         :    10  4d5.(4D).5s.(5D).5p  6F*  </t>
  </si>
  <si>
    <t xml:space="preserve">  61         :    24  4d6.(5D).5p          6F*  </t>
  </si>
  <si>
    <t xml:space="preserve">  63         :    11  4d6.(5D).5p          4D*  </t>
  </si>
  <si>
    <t xml:space="preserve">  72         :     5  4d5.(4D).5s.(5D).5p  4F*  </t>
  </si>
  <si>
    <t xml:space="preserve">  78         :     5  4d5.(4D).5s.(5D).5p  4F*  </t>
  </si>
  <si>
    <t>4d5.(6S).5s.(5S).5p</t>
  </si>
  <si>
    <t xml:space="preserve">  34         :    34  4d6.(5D).5p          6P*  </t>
  </si>
  <si>
    <t xml:space="preserve">  44         :    39  4d6.(5D).5p          6P*  </t>
  </si>
  <si>
    <t xml:space="preserve">  37         :    20  4d6.(5D).5p          6P*  </t>
  </si>
  <si>
    <t xml:space="preserve">  50         :    40  4d5.(6S).5s.(5S).5p  6P*  </t>
  </si>
  <si>
    <t xml:space="preserve">  15         :    27  4d5.(6S).5s.(5S).5p  6P*  </t>
  </si>
  <si>
    <t xml:space="preserve">  23         :    23  4d5.(6S).5s.(5S).5p  6P*  </t>
  </si>
  <si>
    <t xml:space="preserve">  44         :    15  4d5.(6S).5s.(5S).5p  4P*  </t>
  </si>
  <si>
    <t xml:space="preserve">  45         :    30  4d5.(6S).5s.(5S).5p  4P*  </t>
  </si>
  <si>
    <t xml:space="preserve">  43         :    42  4d5.(6S).5s.(5S).5p  4P*  </t>
  </si>
  <si>
    <t xml:space="preserve">  75         :     8  4d6.(5D).5p          4F*  </t>
  </si>
  <si>
    <t xml:space="preserve">  59         :    22  4d6.(5D).5p          4P*  </t>
  </si>
  <si>
    <t xml:space="preserve">  52         :    29  4d6.(5D).5p          4P*  </t>
  </si>
  <si>
    <t xml:space="preserve">  50         :    35  4d6.(5D).5p          4P*  </t>
  </si>
  <si>
    <t>4d5.(6S).5s.(7S).6s</t>
  </si>
  <si>
    <t>4d5.(4P).5s.(5P).5p</t>
  </si>
  <si>
    <t xml:space="preserve">  39         :    14  4d5.(4D).5s.(5D).5p  6D*  </t>
  </si>
  <si>
    <t xml:space="preserve">  36         :    10  4d5.(4D).5s.(5D).5p  6D*  </t>
  </si>
  <si>
    <t xml:space="preserve">  39         :    12  4d5.(4D).5s.(5D).5p  6F*  </t>
  </si>
  <si>
    <t xml:space="preserve">  26         :    32  4d5.(4G).5s.(5G).5p  6F*  </t>
  </si>
  <si>
    <t>4d5.(4G).5s.(5G).5p</t>
  </si>
  <si>
    <t xml:space="preserve">  83         :     6  4d6.(5D).5p          6F*  </t>
  </si>
  <si>
    <t>L14280</t>
  </si>
  <si>
    <t xml:space="preserve">  22         :     8  4d5.(4G).5s.(5G).5p  4F*  </t>
  </si>
  <si>
    <t xml:space="preserve">  78         :     7  4d5.(4P).5s.(5P).5p  6D*  </t>
  </si>
  <si>
    <t xml:space="preserve">  79         :     7  4d6.(5D).5p          6F*  </t>
  </si>
  <si>
    <t xml:space="preserve">  49         :     5  4d6.(3P2).5p         4P*  </t>
  </si>
  <si>
    <t>6S*</t>
  </si>
  <si>
    <t xml:space="preserve">  38         :     9  4d6.(3P2).5p         4P*  </t>
  </si>
  <si>
    <t>4d6.(3G).5p</t>
  </si>
  <si>
    <t xml:space="preserve">  10         :    13  4d5.(4G).5s.(5G).5p  4F*  </t>
  </si>
  <si>
    <t xml:space="preserve">  10         :     9  4d6.(3F2).5p         4F*  </t>
  </si>
  <si>
    <t>4d6.(3P2).5p</t>
  </si>
  <si>
    <t xml:space="preserve">  15         :    17  4d6.(3P2).5p         4S*  </t>
  </si>
  <si>
    <t>4d6.(3F).5p</t>
  </si>
  <si>
    <t xml:space="preserve">   8         :    25  4d5.(4P).5s.(5P).5p  6S*  </t>
  </si>
  <si>
    <t xml:space="preserve">  26         :    18  4d6.(3F2).5p         4F*  </t>
  </si>
  <si>
    <t xml:space="preserve">  13         :    22  4d5.(4G).5s.(5G).5p  6F*  </t>
  </si>
  <si>
    <t xml:space="preserve">  21         :    16  4d6.(3H).5p          4H*  </t>
  </si>
  <si>
    <t xml:space="preserve">  25         :    23  4d6.(3H).5p          4H*  </t>
  </si>
  <si>
    <t xml:space="preserve">  20         :    16  4d6.(3G).5p          4H*  </t>
  </si>
  <si>
    <t xml:space="preserve">  33         :    30  4d6.(3H).5p          4H*  </t>
  </si>
  <si>
    <t>4d5.(4D).5s.(5D).5p</t>
  </si>
  <si>
    <t xml:space="preserve">  29         :    23  4d5.(4P).5s.(5P).5p  6P*  </t>
  </si>
  <si>
    <t xml:space="preserve">  15         :    20  4d5.(4D).5s.(5D).5p  6D*  </t>
  </si>
  <si>
    <t xml:space="preserve">  18         :    11  4d6.(3D).5p          4F*  </t>
  </si>
  <si>
    <t xml:space="preserve">  25         :    13  4d6.(3P1).5p         2D*  </t>
  </si>
  <si>
    <t>4d6.(3D).5p</t>
  </si>
  <si>
    <t xml:space="preserve">  15         :    11  4d6.(3P2).5p         4P*  </t>
  </si>
  <si>
    <t xml:space="preserve">  11         :     8  4d6.(3P2).5p         4P*  </t>
  </si>
  <si>
    <t xml:space="preserve">  22         :     9  4d6.(3P1).5p         4S*  </t>
  </si>
  <si>
    <t>4d6.(3H).5p</t>
  </si>
  <si>
    <t xml:space="preserve">  12         :     9  4d6.(3F2).5p         2F*  </t>
  </si>
  <si>
    <t xml:space="preserve">  23         :    11  4d6.(3G).5p          2G*  </t>
  </si>
  <si>
    <t xml:space="preserve">  30         :    16  4d5.(4D).5s.(5D).5p  6F*  </t>
  </si>
  <si>
    <t xml:space="preserve">  49         :    11  4d5.(4D).5s.(5D).5p  6P*  </t>
  </si>
  <si>
    <t xml:space="preserve">  17         :    18  4d5.(4D).5s.(5D).5p  6P*  </t>
  </si>
  <si>
    <t xml:space="preserve">  11         :    31  4d5.(4D).5s.(5D).5p  6F*  </t>
  </si>
  <si>
    <t xml:space="preserve">  12         :    12  4d6.(3P2).5p         2D*  </t>
  </si>
  <si>
    <t xml:space="preserve">   8         :    12  4d5.(4D).5s.(5D).5p  6F*  </t>
  </si>
  <si>
    <t xml:space="preserve">  16         :    19  4d5.(4P).5s.(5P).5p  6D*  </t>
  </si>
  <si>
    <t>4d6.(3F2).5p</t>
  </si>
  <si>
    <t xml:space="preserve">  15         :     9  4d6.(3D).5p          4D*  </t>
  </si>
  <si>
    <t xml:space="preserve">  33         :     9  4d6.(3D).5p          4D*  </t>
  </si>
  <si>
    <t xml:space="preserve">  64         :    11  4d5.(4G).5s.(5G).5p  4G*  </t>
  </si>
  <si>
    <t xml:space="preserve">  53         :    13  4d6.(3F2).5p         4G*  </t>
  </si>
  <si>
    <t xml:space="preserve">  20         :    21  4d6.(3F2).5p         4G*  </t>
  </si>
  <si>
    <t xml:space="preserve">  55         :    13  4d5.(4G).5s.(5G).5p  4G*  </t>
  </si>
  <si>
    <t xml:space="preserve">  33         :    16  4d6.(3D).5p          4F*  </t>
  </si>
  <si>
    <t xml:space="preserve">  50         :     7  4d5.(4D).5s.(5D).5p  6D*  </t>
  </si>
  <si>
    <t xml:space="preserve">  26         :    18  4d6.(3F2).5p         4G*  </t>
  </si>
  <si>
    <t xml:space="preserve">  25         :    11  4d6.(3F2).5p         4G*  </t>
  </si>
  <si>
    <t xml:space="preserve">  37         :    15  4d6.(3G).5p          2H*  </t>
  </si>
  <si>
    <t xml:space="preserve">  21         :    10  4d6.(3F2).5p         4D*  </t>
  </si>
  <si>
    <t xml:space="preserve">  23         :    17  4d5.(4G).5s.(5G).5p  4G*  </t>
  </si>
  <si>
    <t xml:space="preserve">  17         :    25  4d5.(4D).5s.(5D).5p  6F*  </t>
  </si>
  <si>
    <t xml:space="preserve">  50         :    27  4d6.(3H).5p          4I*  </t>
  </si>
  <si>
    <t xml:space="preserve">  49         :    16  4d6.(3H).5p          4H*  </t>
  </si>
  <si>
    <t xml:space="preserve">  41         :    15  4d5.(4G).5s.(3G).5p  4G*  </t>
  </si>
  <si>
    <t xml:space="preserve">  23         :    15  4d6.(3H).5p          4G*  </t>
  </si>
  <si>
    <t xml:space="preserve">  32         :    15  4d5.(4G).5s.(3G).5p  4G*  </t>
  </si>
  <si>
    <t xml:space="preserve">  15         :    19  4d6.(3F2).5p         4G*  </t>
  </si>
  <si>
    <t xml:space="preserve">  16         :    31  4d6.(3H).5p          4I*  </t>
  </si>
  <si>
    <t xml:space="preserve">  45         :    10  4d6.(3D).5p          4F*  </t>
  </si>
  <si>
    <t xml:space="preserve">  24         :    22  4d5.(4D).5s.(5D).5p  6P*  </t>
  </si>
  <si>
    <t xml:space="preserve">  18         :    21  4d5.(4P).5s.(5P).5p  6D*  </t>
  </si>
  <si>
    <t xml:space="preserve">  19         :    19  4d6.(3D).5p          4P*  </t>
  </si>
  <si>
    <t>4d6.(5D).6s</t>
  </si>
  <si>
    <t xml:space="preserve">  12         :     6  4d6.(3D).5p          4D*  </t>
  </si>
  <si>
    <t xml:space="preserve">  47         :    11  4d6.(3H).5p          4H*  </t>
  </si>
  <si>
    <t xml:space="preserve">  42         :    32  4d6.(3H).5p          4H*  </t>
  </si>
  <si>
    <t xml:space="preserve">  35         :    16  4d6.(3G).5p          2H*  </t>
  </si>
  <si>
    <t xml:space="preserve">  15         :    13  4d6.(3H).5p          4H*  </t>
  </si>
  <si>
    <t xml:space="preserve">  23         :    18  4d6.(3H).5p          4I*  </t>
  </si>
  <si>
    <t xml:space="preserve">  18         :    39  4d6.(3H).5p          2I*  </t>
  </si>
  <si>
    <t xml:space="preserve">  15         :     8  4d6.(3F2).5p         4F*  </t>
  </si>
  <si>
    <t xml:space="preserve">  46         :    10  4d5.(4G).5s.(3G).5p  4H*  </t>
  </si>
  <si>
    <t xml:space="preserve">  19         :    15  4d6.(3G).5p          4G*  </t>
  </si>
  <si>
    <t xml:space="preserve">  12         :     7  4d6.(3F2).5p         4F*  </t>
  </si>
  <si>
    <t xml:space="preserve">  22         :    15  4d6.(3G).5p          4F*  </t>
  </si>
  <si>
    <t xml:space="preserve">   9         :    14  4d6.(3F2).5p         2G*  </t>
  </si>
  <si>
    <t xml:space="preserve">  12         :    10  4d6.(3G).5p          4F*  </t>
  </si>
  <si>
    <t xml:space="preserve">  10         :    19  4d6.(3F2).5p         2D*  </t>
  </si>
  <si>
    <t xml:space="preserve">  17         :    14  4d5.(4G).5s.(5G).5p  2F*  </t>
  </si>
  <si>
    <t xml:space="preserve">  16         :    11  4d5.(4D).5s.(5D).5p  6D*  </t>
  </si>
  <si>
    <t xml:space="preserve">  15         :    11  4d5.(4D).5s.(5D).5p  6D*  </t>
  </si>
  <si>
    <t xml:space="preserve">  33         :    15  4d6.(3D).5p          2D*  </t>
  </si>
  <si>
    <t>4d5.(4G).5s.(3G).5p</t>
  </si>
  <si>
    <t xml:space="preserve">  22         :    14  4d6.(3G).5p          2F*  </t>
  </si>
  <si>
    <t>4d5.(6S).5s.(7S).5d</t>
  </si>
  <si>
    <t xml:space="preserve">  16         :     9  4d5.(4G).5s.(3G).5p  2F*  </t>
  </si>
  <si>
    <t xml:space="preserve">   8         :     8  4d6.(3D).5p          4P*  </t>
  </si>
  <si>
    <t xml:space="preserve">  34         :    11  4d6.(3H).5p          2H*  </t>
  </si>
  <si>
    <t xml:space="preserve">  25         :     6  4d5.(4D).5s.(5D).5p  6P*  </t>
  </si>
  <si>
    <t xml:space="preserve">  52         :    15  4d6.(3F2).5p         2G*  </t>
  </si>
  <si>
    <t xml:space="preserve">  26         :    11  4d5.(4D).5s.(3D).5p  2F*  </t>
  </si>
  <si>
    <t xml:space="preserve">  20         :    15  4d5.(4P).5s.(5P).5p  4D*  </t>
  </si>
  <si>
    <t xml:space="preserve">  22         :     9  4d6.(3D).5p          2F*  </t>
  </si>
  <si>
    <t xml:space="preserve">  26         :     8  4d5.(4P).5s.(3P).5p  4D*  </t>
  </si>
  <si>
    <t xml:space="preserve">  42         :    25  4d5.(4G).5s.(5G).5p  4H*  </t>
  </si>
  <si>
    <t xml:space="preserve">  43         :    25  4d5.(4G).5s.(5G).5p  4H*  </t>
  </si>
  <si>
    <t xml:space="preserve">  44         :    25  4d5.(4G).5s.(5G).5p  4H*  </t>
  </si>
  <si>
    <t xml:space="preserve">  46         :    30  4d5.(4G).5s.(5G).5p  4H*  </t>
  </si>
  <si>
    <t xml:space="preserve">   8         :     6  4d6.(3P1).5p         4P*  </t>
  </si>
  <si>
    <t xml:space="preserve">  27         :    26  4d5.(4G).5s.(3G).5p  4G*  </t>
  </si>
  <si>
    <t xml:space="preserve">  22         :    19  4d5.(4G).5s.(5G).5p  4G*  </t>
  </si>
  <si>
    <t xml:space="preserve">  19         :    14  4d5.(4G).5s.(5G).5p  4G*  </t>
  </si>
  <si>
    <t xml:space="preserve">  11         :     8  4d5.(4P).5s.(5P).5p  4P*  </t>
  </si>
  <si>
    <t xml:space="preserve">  27         :    22  4d5.(4P).5s.(5P).5p  4P*  </t>
  </si>
  <si>
    <t>4d6.(1G2).5p</t>
  </si>
  <si>
    <t xml:space="preserve">  21         :    16  4d6.(3G).5p          2G*  </t>
  </si>
  <si>
    <t xml:space="preserve">  35         :    22  4d6.(3H).5p          2G*  </t>
  </si>
  <si>
    <t xml:space="preserve">  16         :    17  4d6.(1G2).5p         2G*  </t>
  </si>
  <si>
    <t xml:space="preserve">  14         :     9  4d5.(4G).5s.(3G).5p  4F*  </t>
  </si>
  <si>
    <t xml:space="preserve">  16         :    11  4d5.(4G).5s.(3G).5p  4F*  </t>
  </si>
  <si>
    <t xml:space="preserve">  24         :    12  4d5.(4G).5s.(3G).5p  4F*  </t>
  </si>
  <si>
    <t xml:space="preserve">  12         :    18  4d6.(3H).5p          2G*  </t>
  </si>
  <si>
    <t>4d6.(1I).5p</t>
  </si>
  <si>
    <t xml:space="preserve">  66         :     9  4d5.(2I).5s.(3I).5p  4K*  </t>
  </si>
  <si>
    <t xml:space="preserve">  49         :    31  4d5.(2I).5s.(3I).5p  4K*  </t>
  </si>
  <si>
    <t>4d6.(5D).5d</t>
  </si>
  <si>
    <t xml:space="preserve">  84         :    15                       6G   </t>
  </si>
  <si>
    <t xml:space="preserve">  50         :    43                       6D   </t>
  </si>
  <si>
    <t xml:space="preserve">  40         :    30                       4D   </t>
  </si>
  <si>
    <t xml:space="preserve">  48         :    25                       6P   </t>
  </si>
  <si>
    <t xml:space="preserve">  33         :    20                       6G   </t>
  </si>
  <si>
    <t xml:space="preserve">  34         :    23                       6S   </t>
  </si>
  <si>
    <t>6P</t>
  </si>
  <si>
    <t xml:space="preserve">  42         :    31                       6D   </t>
  </si>
  <si>
    <t xml:space="preserve">  34         :    33                       4D   </t>
  </si>
  <si>
    <t>6G</t>
  </si>
  <si>
    <t xml:space="preserve">  66         :    21                       4G   </t>
  </si>
  <si>
    <t xml:space="preserve">  28         :    23                       4G   </t>
  </si>
  <si>
    <t xml:space="preserve">  64         :    25                       4F   </t>
  </si>
  <si>
    <t xml:space="preserve">  59         :    17                       4G   </t>
  </si>
  <si>
    <t xml:space="preserve">  53         :    19                       6P   </t>
  </si>
  <si>
    <t xml:space="preserve">  35         :    24                       6F   </t>
  </si>
  <si>
    <t xml:space="preserve">  43         :    32                       6F   </t>
  </si>
  <si>
    <t xml:space="preserve">  78         :    19                       6G   </t>
  </si>
  <si>
    <t xml:space="preserve">  49         :    25                       6F   </t>
  </si>
  <si>
    <t xml:space="preserve">  26         :    29                       6D   </t>
  </si>
  <si>
    <t>4d5.(4F).5s.(5F).5p</t>
  </si>
  <si>
    <t xml:space="preserve">  17         :    14  4d6.(3G).5p          4F*  </t>
  </si>
  <si>
    <t xml:space="preserve">  49         :    16  4d5.(4G).5s.(3G).5p  2H*  </t>
  </si>
  <si>
    <t xml:space="preserve">  17         :    13  4d6.(5D).6p          4F*  </t>
  </si>
  <si>
    <t xml:space="preserve">  41         :    34                       6F   </t>
  </si>
  <si>
    <t>4d5.(6S).5s.(5S).6s</t>
  </si>
  <si>
    <t xml:space="preserve">  49         :    32                       4G   </t>
  </si>
  <si>
    <t xml:space="preserve">  63         :    21                       4G   </t>
  </si>
  <si>
    <t xml:space="preserve">  81         :    11  4d5.(2I).5s.(3I).5p  2I*  </t>
  </si>
  <si>
    <t xml:space="preserve">  75         :     9  4d5.(2I).5s.(3I).5p  2I*  </t>
  </si>
  <si>
    <t xml:space="preserve">  25         :    20  4d6.(3G).5p          2H*  </t>
  </si>
  <si>
    <t xml:space="preserve">  12         :    20  4d5.(2I).5s.(3I).5p  4H*  </t>
  </si>
  <si>
    <t>4d5.(2I).5s.(3I).5p</t>
  </si>
  <si>
    <t xml:space="preserve">  78         :    11  4d5.(4G).5s.(3G).5p  4H*  </t>
  </si>
  <si>
    <t xml:space="preserve">  56         :     7  4d5.(2F1).5s.(3F).5p 4G*  </t>
  </si>
  <si>
    <t xml:space="preserve">  16         :    10  4d5.(2F1).5s.(3F).5p 4G*  </t>
  </si>
  <si>
    <t xml:space="preserve">  30         :     9  4d6.(3G).5p          2H*  </t>
  </si>
  <si>
    <t>4d6.(5D).6p</t>
  </si>
  <si>
    <t xml:space="preserve">  26         :    21  4d5.(2I).5s.(3I).5p  4H*  </t>
  </si>
  <si>
    <t>4d5.(2F1).5s.(3F).5p</t>
  </si>
  <si>
    <t xml:space="preserve">  25         :    20  4d5.(4G).5s.(3G).5p  2G*  </t>
  </si>
  <si>
    <t>4d5.(2H).5s.(3H).5p</t>
  </si>
  <si>
    <t xml:space="preserve">  13         :    12  4d5.(2I).5s.(1I).5p  2H*  </t>
  </si>
  <si>
    <t xml:space="preserve">  28         :    13  4d5.(4G).5s.(3G).5p  4H*  </t>
  </si>
  <si>
    <t>4d5.(2G2).5s.(3G).5p</t>
  </si>
  <si>
    <t xml:space="preserve">  26         :    19  4d5.(4G).5s.(3G).5p  4H*  </t>
  </si>
  <si>
    <t>Tc II (4d5.5s 7S&lt;3&gt;)</t>
  </si>
  <si>
    <t>L15237</t>
  </si>
  <si>
    <t>4d8.(3F).5s</t>
  </si>
  <si>
    <t>4d9</t>
  </si>
  <si>
    <t>4d8.(3P).5s</t>
  </si>
  <si>
    <t>4d7.5s2</t>
  </si>
  <si>
    <t>4d8.(1D).5s</t>
  </si>
  <si>
    <t>4d8.(1G).5s</t>
  </si>
  <si>
    <t>4d8.(3F).5p</t>
  </si>
  <si>
    <t>4d8.(3P).5p</t>
  </si>
  <si>
    <t>4d8.(1D).5p</t>
  </si>
  <si>
    <t>4d8.(1S).5p</t>
  </si>
  <si>
    <t>4d8.(3F).6s</t>
  </si>
  <si>
    <t>4d8.(1G).5p</t>
  </si>
  <si>
    <t>5/2?</t>
  </si>
  <si>
    <t>7/2,9/2</t>
  </si>
  <si>
    <t>5/2,7/2</t>
  </si>
  <si>
    <t>Rh II (4d8 3F&lt;4&gt;)</t>
  </si>
  <si>
    <t>4d10</t>
  </si>
  <si>
    <t>L9430</t>
  </si>
  <si>
    <t>4d9.(2D&lt;5/2&gt;).5s</t>
  </si>
  <si>
    <t>4d9.(2D&lt;3/2&gt;).5s</t>
  </si>
  <si>
    <t>4d8.5s2</t>
  </si>
  <si>
    <t>4d9.(2D&lt;5/2&gt;).5p</t>
  </si>
  <si>
    <t>4d9.(2D&lt;3/2&gt;).5p</t>
  </si>
  <si>
    <t>4d9.(2D&lt;5/2&gt;).6s</t>
  </si>
  <si>
    <t>4d8.5s.(4F).5p</t>
  </si>
  <si>
    <t>1.47?</t>
  </si>
  <si>
    <t>4d9.(2D&lt;3/2&gt;).6s</t>
  </si>
  <si>
    <t>4d9.(2D&lt;5/2&gt;).6p</t>
  </si>
  <si>
    <t>0.92?</t>
  </si>
  <si>
    <t>4d9.(2D&lt;5/2&gt;).5d</t>
  </si>
  <si>
    <t>4d8.5s.(2F).5p</t>
  </si>
  <si>
    <t>4d9.(2D&lt;3/2&gt;).6p</t>
  </si>
  <si>
    <t>4d9.(2D&lt;5/2&gt;).7s</t>
  </si>
  <si>
    <t>4d9.(2D&lt;3/2&gt;).5d</t>
  </si>
  <si>
    <t>4d8.5s.(4P).5p</t>
  </si>
  <si>
    <t>4d9.(2D&lt;5/2&gt;).7p</t>
  </si>
  <si>
    <t>4d9.(2D&lt;5/2&gt;).6d</t>
  </si>
  <si>
    <t>4d9.(2D&lt;5/2&gt;).4f</t>
  </si>
  <si>
    <t>1.20?</t>
  </si>
  <si>
    <t>4d9.(2D&lt;3/2&gt;).7s</t>
  </si>
  <si>
    <t>4d9.(2D&lt;5/2&gt;).8s</t>
  </si>
  <si>
    <t>4d9.(2D&lt;5/2&gt;).7d</t>
  </si>
  <si>
    <t>4d9.(2D&lt;5/2&gt;).9s</t>
  </si>
  <si>
    <t>4d9.(2D&lt;3/2&gt;).6d</t>
  </si>
  <si>
    <t>4d9.(2D&lt;3/2&gt;).7p</t>
  </si>
  <si>
    <t>4d9.(2D&lt;3/2&gt;).4f</t>
  </si>
  <si>
    <t>Pd II (4d9 2D&lt;5/2&gt;)</t>
  </si>
  <si>
    <t>L20363</t>
  </si>
  <si>
    <t>Pd II (4d9 2D&lt;3/2&gt;)</t>
  </si>
  <si>
    <t>4d10.5s</t>
  </si>
  <si>
    <t>4d10.5p</t>
  </si>
  <si>
    <t>L12037</t>
  </si>
  <si>
    <t>4d9.5s2</t>
  </si>
  <si>
    <t>L9025</t>
  </si>
  <si>
    <t>4d10.6s</t>
  </si>
  <si>
    <t>L17163</t>
  </si>
  <si>
    <t>4d10.6p</t>
  </si>
  <si>
    <t>4d10.5d</t>
  </si>
  <si>
    <t>L11755</t>
  </si>
  <si>
    <t>4d10.7s</t>
  </si>
  <si>
    <t>4d10.7p</t>
  </si>
  <si>
    <t>4d10.6d</t>
  </si>
  <si>
    <t>L15300</t>
  </si>
  <si>
    <t>4d10.4f</t>
  </si>
  <si>
    <t>4d10.8s</t>
  </si>
  <si>
    <t>4d9.5s.(3D).5p</t>
  </si>
  <si>
    <t>L2489</t>
  </si>
  <si>
    <t>4d10.8p</t>
  </si>
  <si>
    <t>4d10.5f</t>
  </si>
  <si>
    <t>4d10.7d</t>
  </si>
  <si>
    <t>4d10.5g</t>
  </si>
  <si>
    <t>4d10.9s</t>
  </si>
  <si>
    <t>4d10.9p</t>
  </si>
  <si>
    <t>4d10.6f</t>
  </si>
  <si>
    <t>4d10.8d</t>
  </si>
  <si>
    <t>4d10.6g</t>
  </si>
  <si>
    <t>4d10.6h</t>
  </si>
  <si>
    <t>4d10.10s</t>
  </si>
  <si>
    <t>4d10.10p</t>
  </si>
  <si>
    <t>4d10.7f</t>
  </si>
  <si>
    <t>4d10.9d</t>
  </si>
  <si>
    <t>4d10.7g</t>
  </si>
  <si>
    <t>4d10.11s</t>
  </si>
  <si>
    <t>4d10.10d</t>
  </si>
  <si>
    <t>4d10.12s</t>
  </si>
  <si>
    <t>4d10.11d</t>
  </si>
  <si>
    <t>4d10.12d</t>
  </si>
  <si>
    <t>Ag II (4d10 1S&lt;0&gt;)</t>
  </si>
  <si>
    <t>L11835</t>
  </si>
  <si>
    <t>4d9.5s.(1D).5p</t>
  </si>
  <si>
    <t>4d9.5s.(3D).6s</t>
  </si>
  <si>
    <t>4d9.5s.(1D).6s</t>
  </si>
  <si>
    <t>4d9.5s.(3D).5d</t>
  </si>
  <si>
    <t>4d9.5s.(3D).6p</t>
  </si>
  <si>
    <t>4d9.5s.(3D).7s</t>
  </si>
  <si>
    <t>4d9.5s.(1D).5d</t>
  </si>
  <si>
    <t>4d10.5s2</t>
  </si>
  <si>
    <t>4d10.5s.5p</t>
  </si>
  <si>
    <t>L3486</t>
  </si>
  <si>
    <t>4d10.5s.6s</t>
  </si>
  <si>
    <t>4d10.5s.6p</t>
  </si>
  <si>
    <t>4d10.5s.5d</t>
  </si>
  <si>
    <t>L3486c197</t>
  </si>
  <si>
    <t>4d10.5s.7s</t>
  </si>
  <si>
    <t>4d10.5s.7p</t>
  </si>
  <si>
    <t>L9542</t>
  </si>
  <si>
    <t>4d10.5s.6d</t>
  </si>
  <si>
    <t>4d10.5s.4f</t>
  </si>
  <si>
    <t>2,3,4</t>
  </si>
  <si>
    <t>4d10.5s.8s</t>
  </si>
  <si>
    <t>4d10.5s.8p</t>
  </si>
  <si>
    <t>4d10.5s.7d</t>
  </si>
  <si>
    <t>4d10.5s.5f</t>
  </si>
  <si>
    <t>4d10.5s.9s</t>
  </si>
  <si>
    <t>4d10.5s.8d</t>
  </si>
  <si>
    <t>4d10.5s.9p</t>
  </si>
  <si>
    <t>4d10.5s.6f</t>
  </si>
  <si>
    <t>4d10.5s.10s</t>
  </si>
  <si>
    <t>4d10.5s.9d</t>
  </si>
  <si>
    <t>4d10.5s.10p</t>
  </si>
  <si>
    <t>4d10.5s.7f</t>
  </si>
  <si>
    <t>4d10.5s.11s</t>
  </si>
  <si>
    <t>4d10.5s.10d</t>
  </si>
  <si>
    <t>4d10.5s.11p</t>
  </si>
  <si>
    <t>4d10.5s.8f</t>
  </si>
  <si>
    <t>4d10.5s.12s</t>
  </si>
  <si>
    <t>4d10.5s.11d</t>
  </si>
  <si>
    <t>4d10.5s.12p</t>
  </si>
  <si>
    <t>4d10.5s.9f</t>
  </si>
  <si>
    <t>4d10.5s.13s</t>
  </si>
  <si>
    <t>4d10.5s.12d</t>
  </si>
  <si>
    <t>4d10.5s.10f</t>
  </si>
  <si>
    <t>4d10.5s.14s</t>
  </si>
  <si>
    <t>4d10.5s.13d</t>
  </si>
  <si>
    <t>1,2,3</t>
  </si>
  <si>
    <t>4d10.5s.15s</t>
  </si>
  <si>
    <t>4d10.5s.14d</t>
  </si>
  <si>
    <t>4d10.5s.16s</t>
  </si>
  <si>
    <t>4d10.5s.15d</t>
  </si>
  <si>
    <t>4d10.5s.16d</t>
  </si>
  <si>
    <t>4d10.5s.17d</t>
  </si>
  <si>
    <t>4d10.5s.18d</t>
  </si>
  <si>
    <t>4d10.5s.19d</t>
  </si>
  <si>
    <t>Cd II (5s 2S&lt;1/2&gt;)</t>
  </si>
  <si>
    <t>L18843</t>
  </si>
  <si>
    <t>4d10.5p2</t>
  </si>
  <si>
    <t>4d9.5s2.5p</t>
  </si>
  <si>
    <t>4d9.5s2.6p</t>
  </si>
  <si>
    <t>4d9.5s2.7p</t>
  </si>
  <si>
    <t>4d9.5s2.4f?</t>
  </si>
  <si>
    <t>3P*?</t>
  </si>
  <si>
    <t>4d9.5s2.8p</t>
  </si>
  <si>
    <t>4d9.5s2.9p</t>
  </si>
  <si>
    <t>4d9.5s2.6f?</t>
  </si>
  <si>
    <t>4d9.5s2.10p</t>
  </si>
  <si>
    <t>4d9.5s2.11p</t>
  </si>
  <si>
    <t>4d9.5s2.12p</t>
  </si>
  <si>
    <t>4d9.5s2.13p?</t>
  </si>
  <si>
    <t>1P*?</t>
  </si>
  <si>
    <t>4d9.5s2.5f?</t>
  </si>
  <si>
    <t>4d9.5s2.6f</t>
  </si>
  <si>
    <t>4d9.5s2.7f?</t>
  </si>
  <si>
    <t>4d9.5s2.13p</t>
  </si>
  <si>
    <t>4d9.5s2.14p</t>
  </si>
  <si>
    <t>5d.6s2</t>
  </si>
  <si>
    <t xml:space="preserve">  85             :    10  5d2.(1D).6s   2D       </t>
  </si>
  <si>
    <t>L3974</t>
  </si>
  <si>
    <t xml:space="preserve">  82             :    13  5d2.(1D).6s   2D       </t>
  </si>
  <si>
    <t>5d2.(3F).6s</t>
  </si>
  <si>
    <t xml:space="preserve">  98             :     1  5d.6s2        2D       </t>
  </si>
  <si>
    <t xml:space="preserve">  99             :     1                (3F) 2F  </t>
  </si>
  <si>
    <t xml:space="preserve">  86             :     5                (1D) 2D  </t>
  </si>
  <si>
    <t xml:space="preserve">  93             :     4  5d3           2F       </t>
  </si>
  <si>
    <t>5d2.(3P).6s</t>
  </si>
  <si>
    <t xml:space="preserve">  99             :     1                (1S) 2S  </t>
  </si>
  <si>
    <t xml:space="preserve">  97             :     2                (1D) 2D  </t>
  </si>
  <si>
    <t xml:space="preserve">  82             :    10                (1D) 2D  </t>
  </si>
  <si>
    <t>5d2.(1D).6s</t>
  </si>
  <si>
    <t xml:space="preserve">  61             :    18                (3P) 2P  </t>
  </si>
  <si>
    <t xml:space="preserve">  67             :    16                (3P) 4P  </t>
  </si>
  <si>
    <t xml:space="preserve">  72             :    26  5d3           2P       </t>
  </si>
  <si>
    <t xml:space="preserve">  54             :    21  5d3           2P       </t>
  </si>
  <si>
    <t>5d2.(1G).6s</t>
  </si>
  <si>
    <t xml:space="preserve">  91             :     8  5d3           2G       </t>
  </si>
  <si>
    <t xml:space="preserve">  88             :     9  5d3           2G       </t>
  </si>
  <si>
    <t>5d3</t>
  </si>
  <si>
    <t xml:space="preserve">  98             :     1                2D2      </t>
  </si>
  <si>
    <t xml:space="preserve">  97             :     2                2G       </t>
  </si>
  <si>
    <t>5d.6s.(3D).6p</t>
  </si>
  <si>
    <t xml:space="preserve">  53             :    10  5d2.6p        2G*      </t>
  </si>
  <si>
    <t xml:space="preserve">  43  4F*        :    10  5d2.6p                 </t>
  </si>
  <si>
    <t xml:space="preserve">  49             :    26  6s2.6p        2P*      </t>
  </si>
  <si>
    <t xml:space="preserve">  25  2D*        :    11  5d2.6p                 </t>
  </si>
  <si>
    <t>4f.6s2</t>
  </si>
  <si>
    <t xml:space="preserve">  53             :    31  5d.6s.6p      2P*      </t>
  </si>
  <si>
    <t xml:space="preserve">  51             :    29  5d.6s.6p      2P*      </t>
  </si>
  <si>
    <t xml:space="preserve">  46  4D*        :    35  6s2.6p        2P*      </t>
  </si>
  <si>
    <t>6s2.6p</t>
  </si>
  <si>
    <t xml:space="preserve">  40  2P*        :    51  5d.6s.6p               </t>
  </si>
  <si>
    <t xml:space="preserve">  97             :     2  5d2.(1S).6s   2S       </t>
  </si>
  <si>
    <t xml:space="preserve">  94             :     2  5d2.(3P).6s   2P       </t>
  </si>
  <si>
    <t xml:space="preserve">  97             :     2                2D1      </t>
  </si>
  <si>
    <t>5d2.(3F).6p</t>
  </si>
  <si>
    <t xml:space="preserve">  28  4G*        :    24  4f.6s2        2F*      </t>
  </si>
  <si>
    <t>5d2.(1S).6s</t>
  </si>
  <si>
    <t xml:space="preserve">  97             :     2  5d3           4P       </t>
  </si>
  <si>
    <t xml:space="preserve">  90             :     9  5d2.(1G).6s   2G       </t>
  </si>
  <si>
    <t xml:space="preserve">  54             :    39                2H       </t>
  </si>
  <si>
    <t xml:space="preserve">  51             :    31  5d2.6p                 </t>
  </si>
  <si>
    <t xml:space="preserve">  42  4G*        :    19  4f.6s2        2F*      </t>
  </si>
  <si>
    <t xml:space="preserve">  42             :    46  5d.6s.6p               </t>
  </si>
  <si>
    <t xml:space="preserve">  52             :    23  5d.6s.6p               </t>
  </si>
  <si>
    <t xml:space="preserve">  57             :    26                2D1      </t>
  </si>
  <si>
    <t xml:space="preserve">  68             :    21                2D1      </t>
  </si>
  <si>
    <t xml:space="preserve">  60             :    29  5d.6s.6p               </t>
  </si>
  <si>
    <t xml:space="preserve">  54             :    30  5d.6s.6p               </t>
  </si>
  <si>
    <t xml:space="preserve">  61             :    36                2G       </t>
  </si>
  <si>
    <t>5d.6s.(1D).6p</t>
  </si>
  <si>
    <t xml:space="preserve">  37  2P*        :    51  5d2.6p                 </t>
  </si>
  <si>
    <t xml:space="preserve">  72             :    11  5d.6s.6p               </t>
  </si>
  <si>
    <t xml:space="preserve">  47  2P*        :    50  5d2.6p                 </t>
  </si>
  <si>
    <t xml:space="preserve">  71             :    26  5d2.(3P).6s   2P       </t>
  </si>
  <si>
    <t xml:space="preserve">  67             :    24  5d2.(3P).6s   2P       </t>
  </si>
  <si>
    <t xml:space="preserve">  41  2F*        :    28  5d.6s.6p               </t>
  </si>
  <si>
    <t xml:space="preserve">  31  2F*        :    16  5d.6s.6p               </t>
  </si>
  <si>
    <t xml:space="preserve">  51             :    15  4f.5d.6s               </t>
  </si>
  <si>
    <t xml:space="preserve">  44             :    32  4f.5d.6s               </t>
  </si>
  <si>
    <t xml:space="preserve">  95             :     4  5d2.(3F).6s   2F       </t>
  </si>
  <si>
    <t xml:space="preserve">  93             :     3  5d2.(3F).6s   2F       </t>
  </si>
  <si>
    <t xml:space="preserve">  23  2F*        :    47  4f.5d.6s               </t>
  </si>
  <si>
    <t>5d2.(3P).6p</t>
  </si>
  <si>
    <t>4f.5d.(1G*).6s</t>
  </si>
  <si>
    <t xml:space="preserve">  49             :    31  5d2.6p                 </t>
  </si>
  <si>
    <t xml:space="preserve">  63             :    16  4f.5d.6s               </t>
  </si>
  <si>
    <t xml:space="preserve">  83             :    12  4f.5d.6s               </t>
  </si>
  <si>
    <t xml:space="preserve">  34  2F*        :    32  4f.5d.6s               </t>
  </si>
  <si>
    <t>4f.5d.(3H*).6s</t>
  </si>
  <si>
    <t xml:space="preserve">  73             :    14  5d2.6p                 </t>
  </si>
  <si>
    <t xml:space="preserve">  65             :    12  5d2.6p                 </t>
  </si>
  <si>
    <t>4f.5d.(3F*).6s</t>
  </si>
  <si>
    <t xml:space="preserve">  68             :    13  5d2.6p                 </t>
  </si>
  <si>
    <t xml:space="preserve">  48             :    21  5d2.6p                 </t>
  </si>
  <si>
    <t xml:space="preserve">  84             :    10  5d2.6p                 </t>
  </si>
  <si>
    <t xml:space="preserve">  85             :    11  5d2.6p                 </t>
  </si>
  <si>
    <t xml:space="preserve">  40  2G*        :    29  5d2.6p                 </t>
  </si>
  <si>
    <t xml:space="preserve">  59             :    14  5d.6s.6p               </t>
  </si>
  <si>
    <t>5d2.(3P).6p?</t>
  </si>
  <si>
    <t>2D*?</t>
  </si>
  <si>
    <t xml:space="preserve">  49             :    26  5d.6s.6p               </t>
  </si>
  <si>
    <t>4f.5d.(1D*).6s?</t>
  </si>
  <si>
    <t xml:space="preserve">  22  2D*        :    44  5d2.6p                 </t>
  </si>
  <si>
    <t xml:space="preserve">  31  2D*        :    49  4f.5d.6s               </t>
  </si>
  <si>
    <t xml:space="preserve">  42  2H*        :    33  5d2.6p                 </t>
  </si>
  <si>
    <t xml:space="preserve">  21  4P*        :    26  4f.5d.6s               </t>
  </si>
  <si>
    <t xml:space="preserve">  56             :    32                2D2      </t>
  </si>
  <si>
    <t xml:space="preserve">  64             :    23                2D2      </t>
  </si>
  <si>
    <t xml:space="preserve">  31  2P*        :    35  5d2.6p                 </t>
  </si>
  <si>
    <t xml:space="preserve">  62             :    13  5d.6s.6p               </t>
  </si>
  <si>
    <t xml:space="preserve">  65             :    13  4f.5d.6s               </t>
  </si>
  <si>
    <t xml:space="preserve">  60             :    18  4f.5d.6s               </t>
  </si>
  <si>
    <t>5d2.(1G).6p</t>
  </si>
  <si>
    <t xml:space="preserve">  47  2H*        :    52  4f.5d.6s               </t>
  </si>
  <si>
    <t xml:space="preserve">  33  4S*        :    19  4f.5d.6s               </t>
  </si>
  <si>
    <t>4f.5d.(3G*).6s</t>
  </si>
  <si>
    <t xml:space="preserve">  86             :    11  5d2.6p                 </t>
  </si>
  <si>
    <t xml:space="preserve">  49  2H*        :    49  4f.5d.6s               </t>
  </si>
  <si>
    <t xml:space="preserve">  48             :    38  4f.5d.6s               </t>
  </si>
  <si>
    <t xml:space="preserve">  62             :    30  4f.5d.6s               </t>
  </si>
  <si>
    <t xml:space="preserve">  50             :    13  4f.5d.6s               </t>
  </si>
  <si>
    <t xml:space="preserve">  48             :    19  4f.5d.6s               </t>
  </si>
  <si>
    <t>5d2.(1D).6p</t>
  </si>
  <si>
    <t xml:space="preserve">  32  2F*        :    31  5d.6s.6p               </t>
  </si>
  <si>
    <t xml:space="preserve">  57             :    31  5d2.6p                 </t>
  </si>
  <si>
    <t xml:space="preserve">  57             :    36  5d2.6p                 </t>
  </si>
  <si>
    <t>4f.5d.(3D*).6s</t>
  </si>
  <si>
    <t xml:space="preserve">  33  2D*        :    32  5d2.6p                 </t>
  </si>
  <si>
    <t xml:space="preserve">  31  2F*        :    45  5d2.6p                 </t>
  </si>
  <si>
    <t xml:space="preserve">  57             :    39  5d2.6p                 </t>
  </si>
  <si>
    <t xml:space="preserve">  21  2D*        :    45  5d2.6p                 </t>
  </si>
  <si>
    <t>4f.6s.(3F*).6p</t>
  </si>
  <si>
    <t xml:space="preserve">  91             :     3                (3F*) 2G </t>
  </si>
  <si>
    <t xml:space="preserve">  96             :     2                (3F*) 2D </t>
  </si>
  <si>
    <t xml:space="preserve">  64             :    15                (1F*) 2F </t>
  </si>
  <si>
    <t xml:space="preserve">  54             :    15                (1F*) 2F </t>
  </si>
  <si>
    <t xml:space="preserve">  84             :    11  5d2.6p                 </t>
  </si>
  <si>
    <t xml:space="preserve">  46  4D*        :    22  5d2.6p                 </t>
  </si>
  <si>
    <t xml:space="preserve">  40  4F         :    33                (1F*) 2F </t>
  </si>
  <si>
    <t xml:space="preserve">  36  4D*        :    20  5d2.6p                 </t>
  </si>
  <si>
    <t xml:space="preserve">  41  4D*        :    19  5d2.6p                 </t>
  </si>
  <si>
    <t>4f.5d.(3P*).6s</t>
  </si>
  <si>
    <t xml:space="preserve">  35  2P*        :    19  5d2.6p                 </t>
  </si>
  <si>
    <t xml:space="preserve">  62             :    23                (3F*) 4F </t>
  </si>
  <si>
    <t xml:space="preserve">  77             :    15                (1F*) 2F </t>
  </si>
  <si>
    <t xml:space="preserve">  78             :    18                (1F*) 2G </t>
  </si>
  <si>
    <t>5d2.(3F).7s</t>
  </si>
  <si>
    <t xml:space="preserve">  42  4F         :    30  5d.6s.(3D).7s 4D       </t>
  </si>
  <si>
    <t xml:space="preserve">  34  4D*        :    21  5d2.6p                 </t>
  </si>
  <si>
    <t xml:space="preserve">  20  4F         :    20  5d.6s.(1D).7s 2D       </t>
  </si>
  <si>
    <t xml:space="preserve">  44  2P*        :    14  5d.6s.6p               </t>
  </si>
  <si>
    <t xml:space="preserve">  50             :    17  5d2.6p                 </t>
  </si>
  <si>
    <t xml:space="preserve">  49             :    15  5d2.6p                 </t>
  </si>
  <si>
    <t xml:space="preserve">  67             :    17  5d2.6p                 </t>
  </si>
  <si>
    <t>5d.6s.(3D).7s</t>
  </si>
  <si>
    <t xml:space="preserve">  58             :    39  5d2.(3F).7s   4F       </t>
  </si>
  <si>
    <t xml:space="preserve">  44             :    30  5d2.(3F).7s   4F       </t>
  </si>
  <si>
    <t xml:space="preserve">  85             :     7                (3F*) 4D </t>
  </si>
  <si>
    <t>4f.6s.(1F*).6p</t>
  </si>
  <si>
    <t xml:space="preserve">  49             :    25                (3F*) 4G </t>
  </si>
  <si>
    <t xml:space="preserve">  58             :    23                (1F*) 2D </t>
  </si>
  <si>
    <t xml:space="preserve">  85             :     7                (1F*) 2D </t>
  </si>
  <si>
    <t xml:space="preserve">  63             :    14                (1F*) 2G </t>
  </si>
  <si>
    <t xml:space="preserve">  83             :    17                (3F) 2F  </t>
  </si>
  <si>
    <t xml:space="preserve">  48  4F         :    46                (3F) 2F  </t>
  </si>
  <si>
    <t>5d.6s.(1D).7s</t>
  </si>
  <si>
    <t xml:space="preserve">  33  2D         :    30  5d2.(1D).7s   2D       </t>
  </si>
  <si>
    <t xml:space="preserve">  34  4D         :    21                (1D) 2D  </t>
  </si>
  <si>
    <t xml:space="preserve">  78             :     9  5d3           2D1      </t>
  </si>
  <si>
    <t xml:space="preserve">  74             :    10  5d2.(1D).7s   2D       </t>
  </si>
  <si>
    <t xml:space="preserve">  99             :     1                (1G) 2G  </t>
  </si>
  <si>
    <t xml:space="preserve">  82             :    17                (3F) 4F  </t>
  </si>
  <si>
    <t>4f.6s.(1F*).6p?</t>
  </si>
  <si>
    <t>2G?</t>
  </si>
  <si>
    <t xml:space="preserve">  50             :    22                (3F*) 2G </t>
  </si>
  <si>
    <t xml:space="preserve">  46             :    19                (3F*) 4D </t>
  </si>
  <si>
    <t>4f.5d.(1P*).6s</t>
  </si>
  <si>
    <t xml:space="preserve">  69             :    16  5d2.6p                 </t>
  </si>
  <si>
    <t xml:space="preserve">  72             :    13  5d2.6p                 </t>
  </si>
  <si>
    <t xml:space="preserve">  44  2D         :    36                (3F*) 4D </t>
  </si>
  <si>
    <t>5d2.(3F).6d</t>
  </si>
  <si>
    <t>5d2.(3F).7p?</t>
  </si>
  <si>
    <t>4F*?</t>
  </si>
  <si>
    <t>4f.5d.(1H*).6s</t>
  </si>
  <si>
    <t xml:space="preserve">  89             :    10  5d2.6p                 </t>
  </si>
  <si>
    <t>4G*?</t>
  </si>
  <si>
    <t>4f.(2F*).5d2.(3F)?</t>
  </si>
  <si>
    <t>4H*?</t>
  </si>
  <si>
    <t>5d.6s.(3D).7p?</t>
  </si>
  <si>
    <t>2G*?</t>
  </si>
  <si>
    <t>6s2.8p</t>
  </si>
  <si>
    <t>La II (5s2.5p6.5d2 3F&lt;2&gt;)</t>
  </si>
  <si>
    <t>L3974,L16228</t>
  </si>
  <si>
    <t>6s2.9p</t>
  </si>
  <si>
    <t>6s2.10p</t>
  </si>
  <si>
    <t>6s2.11p</t>
  </si>
  <si>
    <t>6s2.12p</t>
  </si>
  <si>
    <t>6s2.13p</t>
  </si>
  <si>
    <t>6s2.14p</t>
  </si>
  <si>
    <t>6s2.15p</t>
  </si>
  <si>
    <t>6s2.16p</t>
  </si>
  <si>
    <t>6s2.17p</t>
  </si>
  <si>
    <t>6s2.18p</t>
  </si>
  <si>
    <t>6s2.19p</t>
  </si>
  <si>
    <t>6s2.20p</t>
  </si>
  <si>
    <t>6s2.21p</t>
  </si>
  <si>
    <t>6s2.22p</t>
  </si>
  <si>
    <t>6s2.23p</t>
  </si>
  <si>
    <t>La II (5s2.5p6.6s2 1S&lt;0&gt;)</t>
  </si>
  <si>
    <t>5d2.6s2</t>
  </si>
  <si>
    <t>L16323,L4389</t>
  </si>
  <si>
    <t>L21976,L16323,L4389</t>
  </si>
  <si>
    <t>5d.6s2.(a 2D).6p</t>
  </si>
  <si>
    <t>L16323</t>
  </si>
  <si>
    <t>L21976,L16323</t>
  </si>
  <si>
    <t>5d3.(b 4F).6s</t>
  </si>
  <si>
    <t>5d2.(a 3F).6s.(a 4F).6p</t>
  </si>
  <si>
    <t>1.38:</t>
  </si>
  <si>
    <t>L4389</t>
  </si>
  <si>
    <t>5d3.(b 4P).6s</t>
  </si>
  <si>
    <t>5d3.(b 2G).6s</t>
  </si>
  <si>
    <t>0.802:</t>
  </si>
  <si>
    <t>5d3.(c 2D).6s</t>
  </si>
  <si>
    <t>5d3.(b 2P).6s</t>
  </si>
  <si>
    <t>5d3.(2H).6s</t>
  </si>
  <si>
    <t>5d2.(a 3P).6s.(a 4P).6p</t>
  </si>
  <si>
    <t>5d3.(b 2F).6s</t>
  </si>
  <si>
    <t>5d2.(a 3F).6s.(a 2F).6p</t>
  </si>
  <si>
    <t>5d2.(a 1G).6s.(a 2G).6p</t>
  </si>
  <si>
    <t>a 1F</t>
  </si>
  <si>
    <t>1.15:</t>
  </si>
  <si>
    <t>5d2.(b 1D).6s.(b 2D).6p</t>
  </si>
  <si>
    <t>5d3.(2D).6s</t>
  </si>
  <si>
    <t>c 1D</t>
  </si>
  <si>
    <t>6s2.6p2?</t>
  </si>
  <si>
    <t>6p2.(3P).5d.(2D).6s</t>
  </si>
  <si>
    <t>5d2.(3F).6s.(a 4F).7s</t>
  </si>
  <si>
    <t>b 5F</t>
  </si>
  <si>
    <t>5d.6s2.(a 2D).7s</t>
  </si>
  <si>
    <t>d 3D</t>
  </si>
  <si>
    <t>0.832:</t>
  </si>
  <si>
    <t>5d2.(a 3P).6s.(a 2P).6p</t>
  </si>
  <si>
    <t>6p2.(3P).5d.(4F).6s</t>
  </si>
  <si>
    <t>c 5F</t>
  </si>
  <si>
    <t>5d4</t>
  </si>
  <si>
    <t>d 1D</t>
  </si>
  <si>
    <t>5d3.(b 4F).6p</t>
  </si>
  <si>
    <t>0.78:</t>
  </si>
  <si>
    <t>5d3.(b 2G).6p</t>
  </si>
  <si>
    <t>1.131:</t>
  </si>
  <si>
    <t>1.196:</t>
  </si>
  <si>
    <t>5d3.(b 4P).6p</t>
  </si>
  <si>
    <t>6p2.(3P).5d.(4D).6s</t>
  </si>
  <si>
    <t>5d.6s.6p2</t>
  </si>
  <si>
    <t>5D</t>
  </si>
  <si>
    <t>6p2.(3P).5d.(2P).6s</t>
  </si>
  <si>
    <t>d 3P</t>
  </si>
  <si>
    <t>4384*</t>
  </si>
  <si>
    <t>1.024:</t>
  </si>
  <si>
    <t>4426*</t>
  </si>
  <si>
    <t>1.216:</t>
  </si>
  <si>
    <t>5d2.(3P).6s.(a 4P).7s</t>
  </si>
  <si>
    <t>e 3P</t>
  </si>
  <si>
    <t>6p2.(3P).5d.(2F).6s</t>
  </si>
  <si>
    <t>b 1F</t>
  </si>
  <si>
    <t>4514*</t>
  </si>
  <si>
    <t>6p2.(3P).5d.(4P).6s</t>
  </si>
  <si>
    <t>b 5P</t>
  </si>
  <si>
    <t>1.038:</t>
  </si>
  <si>
    <t>1.021:</t>
  </si>
  <si>
    <t>0.631:</t>
  </si>
  <si>
    <t>5d.6s2.6d</t>
  </si>
  <si>
    <t>4546*</t>
  </si>
  <si>
    <t>f 3P</t>
  </si>
  <si>
    <t>4552*</t>
  </si>
  <si>
    <t>4585*</t>
  </si>
  <si>
    <t>e 1D</t>
  </si>
  <si>
    <t>4622*</t>
  </si>
  <si>
    <t>6p2.(1D).5d.(2F).6s</t>
  </si>
  <si>
    <t>4646*</t>
  </si>
  <si>
    <t>5d3.6p</t>
  </si>
  <si>
    <t>b 1P</t>
  </si>
  <si>
    <t>c 5P</t>
  </si>
  <si>
    <t>1.285:</t>
  </si>
  <si>
    <t>1.33:</t>
  </si>
  <si>
    <t>c 1F</t>
  </si>
  <si>
    <t>4698*</t>
  </si>
  <si>
    <t>6p2.(1D).5d.(2G).6s</t>
  </si>
  <si>
    <t>4709*</t>
  </si>
  <si>
    <t>6p2.(1D).5d.(2D).6s</t>
  </si>
  <si>
    <t>f 3D</t>
  </si>
  <si>
    <t>6p2.(1D).5d.(2P).6s</t>
  </si>
  <si>
    <t>g 3P</t>
  </si>
  <si>
    <t>4735*</t>
  </si>
  <si>
    <t>4759*</t>
  </si>
  <si>
    <t>0.97:</t>
  </si>
  <si>
    <t>4764*</t>
  </si>
  <si>
    <t>f 1D</t>
  </si>
  <si>
    <t>4788*</t>
  </si>
  <si>
    <t>6p2.(1S).5d.(2D).6s</t>
  </si>
  <si>
    <t>g 3D</t>
  </si>
  <si>
    <t>4794*</t>
  </si>
  <si>
    <t>5d2.(3F).6s.(a 2F).7s</t>
  </si>
  <si>
    <t>d 1F</t>
  </si>
  <si>
    <t>4808*</t>
  </si>
  <si>
    <t>c 1P</t>
  </si>
  <si>
    <t>h 3F</t>
  </si>
  <si>
    <t>0.505:</t>
  </si>
  <si>
    <t>g 1D</t>
  </si>
  <si>
    <t>i 3F</t>
  </si>
  <si>
    <t>5P?</t>
  </si>
  <si>
    <t>h 3D</t>
  </si>
  <si>
    <t>5F?</t>
  </si>
  <si>
    <t>1.084:</t>
  </si>
  <si>
    <t>1 or 2</t>
  </si>
  <si>
    <t>4995*</t>
  </si>
  <si>
    <t>5058*</t>
  </si>
  <si>
    <t>3F?</t>
  </si>
  <si>
    <t>1.146:</t>
  </si>
  <si>
    <t>5306*</t>
  </si>
  <si>
    <t>5385*</t>
  </si>
  <si>
    <t>Hf II (5d.6s2 2D&lt;3/2&gt;)</t>
  </si>
  <si>
    <t>L14027,L10033</t>
  </si>
  <si>
    <t>5762*</t>
  </si>
  <si>
    <t>5812*</t>
  </si>
  <si>
    <t>5d3.6s2</t>
  </si>
  <si>
    <t>5d4.(5D).6s</t>
  </si>
  <si>
    <t>5d5</t>
  </si>
  <si>
    <t>5d3.6s.(5F).6p</t>
  </si>
  <si>
    <t>179*</t>
  </si>
  <si>
    <t>5d2.6s2.(3F).6p</t>
  </si>
  <si>
    <t>5d2.6s2.(3P).6p</t>
  </si>
  <si>
    <t>5d4.(3H).6s</t>
  </si>
  <si>
    <t>5d4.(3G).6s</t>
  </si>
  <si>
    <t>223*</t>
  </si>
  <si>
    <t>5d4.(a 3F).6s</t>
  </si>
  <si>
    <t>251*</t>
  </si>
  <si>
    <t>z 4P*?</t>
  </si>
  <si>
    <t>269*</t>
  </si>
  <si>
    <t>277*</t>
  </si>
  <si>
    <t>281*</t>
  </si>
  <si>
    <t>286*</t>
  </si>
  <si>
    <t>288*</t>
  </si>
  <si>
    <t>293*</t>
  </si>
  <si>
    <t>297*</t>
  </si>
  <si>
    <t>5d3.6s.(5P).6p</t>
  </si>
  <si>
    <t>300*</t>
  </si>
  <si>
    <t>305*</t>
  </si>
  <si>
    <t>314*</t>
  </si>
  <si>
    <t>315*</t>
  </si>
  <si>
    <t>316*</t>
  </si>
  <si>
    <t>321*</t>
  </si>
  <si>
    <t>322*</t>
  </si>
  <si>
    <t>330*</t>
  </si>
  <si>
    <t>331*</t>
  </si>
  <si>
    <t>334*</t>
  </si>
  <si>
    <t>336*</t>
  </si>
  <si>
    <t>340*</t>
  </si>
  <si>
    <t>347*</t>
  </si>
  <si>
    <t>352*</t>
  </si>
  <si>
    <t>354*</t>
  </si>
  <si>
    <t>357*</t>
  </si>
  <si>
    <t>358*</t>
  </si>
  <si>
    <t>359*</t>
  </si>
  <si>
    <t>5d3.6s.(3H).6p</t>
  </si>
  <si>
    <t>z 4G*?</t>
  </si>
  <si>
    <t>360*</t>
  </si>
  <si>
    <t>z 4H*?</t>
  </si>
  <si>
    <t>363*</t>
  </si>
  <si>
    <t>5d3.6s.(3G).6p</t>
  </si>
  <si>
    <t>y 4F*?</t>
  </si>
  <si>
    <t>366*</t>
  </si>
  <si>
    <t>y 4G*?</t>
  </si>
  <si>
    <t>371*</t>
  </si>
  <si>
    <t>374*</t>
  </si>
  <si>
    <t>375*</t>
  </si>
  <si>
    <t>376*</t>
  </si>
  <si>
    <t>377*</t>
  </si>
  <si>
    <t>z 4I*?</t>
  </si>
  <si>
    <t>382*</t>
  </si>
  <si>
    <t>5d4.(5D).6p</t>
  </si>
  <si>
    <t>385*</t>
  </si>
  <si>
    <t>387*</t>
  </si>
  <si>
    <t>388*</t>
  </si>
  <si>
    <t>389*</t>
  </si>
  <si>
    <t>390*</t>
  </si>
  <si>
    <t>392*</t>
  </si>
  <si>
    <t>394*</t>
  </si>
  <si>
    <t>395*</t>
  </si>
  <si>
    <t>396*</t>
  </si>
  <si>
    <t>397*</t>
  </si>
  <si>
    <t>399*</t>
  </si>
  <si>
    <t>402*</t>
  </si>
  <si>
    <t>403*</t>
  </si>
  <si>
    <t>408*</t>
  </si>
  <si>
    <t>409*</t>
  </si>
  <si>
    <t>410*</t>
  </si>
  <si>
    <t>5d3.6s.(5F).7s</t>
  </si>
  <si>
    <t>412*</t>
  </si>
  <si>
    <t>415*</t>
  </si>
  <si>
    <t>418*</t>
  </si>
  <si>
    <t>419*</t>
  </si>
  <si>
    <t>420*</t>
  </si>
  <si>
    <t>421*</t>
  </si>
  <si>
    <t>422*</t>
  </si>
  <si>
    <t>424*</t>
  </si>
  <si>
    <t>427*</t>
  </si>
  <si>
    <t>428*</t>
  </si>
  <si>
    <t>429*</t>
  </si>
  <si>
    <t>1.046?</t>
  </si>
  <si>
    <t>430*</t>
  </si>
  <si>
    <t>431*</t>
  </si>
  <si>
    <t>432*</t>
  </si>
  <si>
    <t>433*</t>
  </si>
  <si>
    <t>434*</t>
  </si>
  <si>
    <t>435*</t>
  </si>
  <si>
    <t>438*</t>
  </si>
  <si>
    <t>441*</t>
  </si>
  <si>
    <t>443*</t>
  </si>
  <si>
    <t>444*</t>
  </si>
  <si>
    <t>4466*</t>
  </si>
  <si>
    <t>4469*</t>
  </si>
  <si>
    <t>450*</t>
  </si>
  <si>
    <t>451*</t>
  </si>
  <si>
    <t>452*</t>
  </si>
  <si>
    <t>456*</t>
  </si>
  <si>
    <t>457*</t>
  </si>
  <si>
    <t>458*</t>
  </si>
  <si>
    <t>460*</t>
  </si>
  <si>
    <t>7/2?</t>
  </si>
  <si>
    <t>461*</t>
  </si>
  <si>
    <t>465*</t>
  </si>
  <si>
    <t>468*</t>
  </si>
  <si>
    <t>470*</t>
  </si>
  <si>
    <t>473*</t>
  </si>
  <si>
    <t>476*</t>
  </si>
  <si>
    <t>479*</t>
  </si>
  <si>
    <t>480*</t>
  </si>
  <si>
    <t>483*</t>
  </si>
  <si>
    <t>484*</t>
  </si>
  <si>
    <t>491*</t>
  </si>
  <si>
    <t>4955*</t>
  </si>
  <si>
    <t>4959*</t>
  </si>
  <si>
    <t>498*</t>
  </si>
  <si>
    <t>499*</t>
  </si>
  <si>
    <t>500*</t>
  </si>
  <si>
    <t>501*</t>
  </si>
  <si>
    <t>504*</t>
  </si>
  <si>
    <t>508*</t>
  </si>
  <si>
    <t>514*</t>
  </si>
  <si>
    <t>519*</t>
  </si>
  <si>
    <t>529*</t>
  </si>
  <si>
    <t>5d3.6s.(5F).8s</t>
  </si>
  <si>
    <t>585*</t>
  </si>
  <si>
    <t>Ta II (5d3.6s 5F&lt;1&gt;)</t>
  </si>
  <si>
    <t>L13153</t>
  </si>
  <si>
    <t>5d4.6s2</t>
  </si>
  <si>
    <t>L12177</t>
  </si>
  <si>
    <t>5d5.(6S).6s</t>
  </si>
  <si>
    <t>7S</t>
  </si>
  <si>
    <t xml:space="preserve">  47                         :    24               5D   </t>
  </si>
  <si>
    <t xml:space="preserve">  23                         :    20  5d5.(4G).6s  5G   </t>
  </si>
  <si>
    <t xml:space="preserve">  42                         :    19               3G   </t>
  </si>
  <si>
    <t xml:space="preserve">  49                         :    23               3F4  </t>
  </si>
  <si>
    <t xml:space="preserve">  48                         :    19               3H   </t>
  </si>
  <si>
    <t xml:space="preserve">  48  5d5.(4G).6s 5G         :    24  5d4.6s2      3G   </t>
  </si>
  <si>
    <t xml:space="preserve">  33                         :    28               3D   </t>
  </si>
  <si>
    <t xml:space="preserve">  43                         :    22               3H   </t>
  </si>
  <si>
    <t xml:space="preserve">  52                         :    23               3G   </t>
  </si>
  <si>
    <t xml:space="preserve">  11                         :    46               3F4  </t>
  </si>
  <si>
    <t xml:space="preserve">  36                         :    20  5d5.(2D3).6s 3D   </t>
  </si>
  <si>
    <t xml:space="preserve">  46                         :    21  5d5.(2D3).6s 3D   </t>
  </si>
  <si>
    <t>5d5.(4G).6s</t>
  </si>
  <si>
    <t xml:space="preserve">  57                         :    15  5d4.6s2      3P2  </t>
  </si>
  <si>
    <t xml:space="preserve">  46                         :    22  5d4.6s2      3G   </t>
  </si>
  <si>
    <t>5S</t>
  </si>
  <si>
    <t>5d4.6s.(6D).6p</t>
  </si>
  <si>
    <t>5d5.(4P).6s</t>
  </si>
  <si>
    <t xml:space="preserve">  36                         :    23  5d5.(4G).6s  5G   </t>
  </si>
  <si>
    <t xml:space="preserve">  24  5d4.6s2 3P             :    23  5d5.(6S).6s  5S   </t>
  </si>
  <si>
    <t>1S2</t>
  </si>
  <si>
    <t xml:space="preserve">  39                         :    20               5P*  </t>
  </si>
  <si>
    <t xml:space="preserve">  54                         :    14               7P*  </t>
  </si>
  <si>
    <t>5d5.(4D).6s</t>
  </si>
  <si>
    <t xml:space="preserve">  56                         :    28  5d5.(4P).6s  5P   </t>
  </si>
  <si>
    <t xml:space="preserve">  43                         :    29  5d5.(4P).6s  5P   </t>
  </si>
  <si>
    <t xml:space="preserve">  41                         :    37  5d5.(4P).6s  5P   </t>
  </si>
  <si>
    <t xml:space="preserve">  38                         :    16               3F4  </t>
  </si>
  <si>
    <t>1I</t>
  </si>
  <si>
    <t xml:space="preserve">  48                         :    16  5d5.(2F1).6s 1F   </t>
  </si>
  <si>
    <t>1D2</t>
  </si>
  <si>
    <t xml:space="preserve">  36                         :    26               3P4  </t>
  </si>
  <si>
    <t xml:space="preserve">                                                        </t>
  </si>
  <si>
    <t>5d5.(6S).6p</t>
  </si>
  <si>
    <t>5d5.(2F1).6s</t>
  </si>
  <si>
    <t xml:space="preserve">  22                         :    16  5d4.6s2      3P1  </t>
  </si>
  <si>
    <t xml:space="preserve">  37                         :    33  5d5.(4F).6s  5F   </t>
  </si>
  <si>
    <t xml:space="preserve">  36                         :    16  5d5.(4G).6s  3G   </t>
  </si>
  <si>
    <t>5d5.(4F).6s</t>
  </si>
  <si>
    <t xml:space="preserve">  56                         :    12  5d5.(2F2).6s 3F   </t>
  </si>
  <si>
    <t xml:space="preserve">  33  5d5.(4G).6s 3G         :    20  5d5.(4F).6s  5F   </t>
  </si>
  <si>
    <t>5d5.(2I).6s</t>
  </si>
  <si>
    <t>3I</t>
  </si>
  <si>
    <t xml:space="preserve">  41                         :    37  5d4.6s2      3P1  </t>
  </si>
  <si>
    <t xml:space="preserve">  26                         :    28               1D4  </t>
  </si>
  <si>
    <t xml:space="preserve">  50  5d4.6s2 3F1            :    26  5d5.(4G).6s  3G   </t>
  </si>
  <si>
    <t xml:space="preserve">  34                         :    17  5d5.(4F).6s  5F   </t>
  </si>
  <si>
    <t xml:space="preserve">  19                         :    15               3P2  </t>
  </si>
  <si>
    <t xml:space="preserve">  28  5d5.(4D).6s 3D         :    26  5d5.(4F).6s  3F   </t>
  </si>
  <si>
    <t xml:space="preserve">  58                         :    20  5d5.(2I).6s  3I   </t>
  </si>
  <si>
    <t xml:space="preserve">  35                         :    16  5d4.6s2      1G1  </t>
  </si>
  <si>
    <t xml:space="preserve">  22  5d5.(2G2).6s 3G        :    16  5d5.(2D3).6s 3D   </t>
  </si>
  <si>
    <t>5d5.(2D3).6s</t>
  </si>
  <si>
    <t xml:space="preserve">  56                         :    18  5d5.(4D).6s  3D   </t>
  </si>
  <si>
    <t xml:space="preserve">  52  5d5.(2G2).6s 3G        :    22  5d5.(2D3).6s 3D   </t>
  </si>
  <si>
    <t>5d5.(2G2).6s</t>
  </si>
  <si>
    <t xml:space="preserve">  37                         :    28  5d5.(2H).6s  3H   </t>
  </si>
  <si>
    <t xml:space="preserve">  31                         :    20  5d5.(2F1).6s 3F   </t>
  </si>
  <si>
    <t xml:space="preserve">  46                         :    34  5d5.(2H).6s  3H   </t>
  </si>
  <si>
    <t xml:space="preserve">  25  5d4.6s2 1G1            :    22  5d5.(2H).6s  3H   </t>
  </si>
  <si>
    <t xml:space="preserve">  50                         :    16  5d5.(4F).6s  3F   </t>
  </si>
  <si>
    <t xml:space="preserve">  32  5d5.(2F2).6s 3F        :    30  5d5.(2G2).6s 3G   </t>
  </si>
  <si>
    <t xml:space="preserve">  46  5d5.(2G2).6s 3G        :    40  5d5.(2H).6s  3H   </t>
  </si>
  <si>
    <t xml:space="preserve">  42  5d5.(2F2).6s 1F        :    19  5d5.(2D2).6s 3D   </t>
  </si>
  <si>
    <t>5d4.6s.(4H).6p</t>
  </si>
  <si>
    <t>5H*</t>
  </si>
  <si>
    <t>5d4.6s.(6D).7s</t>
  </si>
  <si>
    <t>7D</t>
  </si>
  <si>
    <t>5d4.6s.(6D).31d</t>
  </si>
  <si>
    <t>(1/2,3/2)</t>
  </si>
  <si>
    <t>5d4.6s.(6D).32d</t>
  </si>
  <si>
    <t>5d4.6s.(6D).33d</t>
  </si>
  <si>
    <t>5d4.6s.(6D).34d</t>
  </si>
  <si>
    <t>5d4.6s.(6D).36d</t>
  </si>
  <si>
    <t>5d4.6s.(6D).38d</t>
  </si>
  <si>
    <t>5d4.6s.(6D).39d</t>
  </si>
  <si>
    <t>5d4.6s.(6D).41s</t>
  </si>
  <si>
    <t>(1/2,1/2)</t>
  </si>
  <si>
    <t>5d4.6s.(6D).40d</t>
  </si>
  <si>
    <t>(1/2,5/2)</t>
  </si>
  <si>
    <t>5d4.6s.(6D).42s</t>
  </si>
  <si>
    <t>5d4.6s.(6D).41d</t>
  </si>
  <si>
    <t>5d4.6s.(6D).43s</t>
  </si>
  <si>
    <t>5d4.6s.(6D).42d</t>
  </si>
  <si>
    <t>5d4.6s.(6D).44s</t>
  </si>
  <si>
    <t>5d4.6s.(6D).43d</t>
  </si>
  <si>
    <t>5d4.6s.(6D).45s</t>
  </si>
  <si>
    <t>5d4.6s.(6D).44d</t>
  </si>
  <si>
    <t>5d4.6s.(6D).46s</t>
  </si>
  <si>
    <t>5d4.6s.(6D).45d</t>
  </si>
  <si>
    <t>5d4.6s.(6D).47s</t>
  </si>
  <si>
    <t>5d4.6s.(6D).46d</t>
  </si>
  <si>
    <t>5d4.6s.(6D).48s</t>
  </si>
  <si>
    <t>5d4.6s.(6D).47d</t>
  </si>
  <si>
    <t>5d4.6s.(6D).49s</t>
  </si>
  <si>
    <t>5d4.6s.(6D).48d</t>
  </si>
  <si>
    <t>5d4.6s.(6D).50s</t>
  </si>
  <si>
    <t>5d4.6s.(6D).49d</t>
  </si>
  <si>
    <t>5d4.6s.(6D).50d</t>
  </si>
  <si>
    <t>5d4.6s.(6D).51d</t>
  </si>
  <si>
    <t>5d4.6s.(6D).52d</t>
  </si>
  <si>
    <t>5d4.6s.(6D).53d</t>
  </si>
  <si>
    <t>W II (5d4.6s 6D&lt;1/2&gt;)</t>
  </si>
  <si>
    <t>L11604</t>
  </si>
  <si>
    <t>5d5.6s2</t>
  </si>
  <si>
    <t>5d6.(5D).6s</t>
  </si>
  <si>
    <t>5d5.6s.(7S).6p</t>
  </si>
  <si>
    <t>5d6.(3P).6s</t>
  </si>
  <si>
    <t>5d6.(3H).6s</t>
  </si>
  <si>
    <t>a 2S</t>
  </si>
  <si>
    <t>5d6.(3F).6s</t>
  </si>
  <si>
    <t>b 2F</t>
  </si>
  <si>
    <t>5d4.6s2.(5D).6p</t>
  </si>
  <si>
    <t>5d6.(3G).6s</t>
  </si>
  <si>
    <t>5d5.6s.(5S).6p</t>
  </si>
  <si>
    <t>5d5.6s.(5G).6p</t>
  </si>
  <si>
    <t>5d5.6s.(5P).6p</t>
  </si>
  <si>
    <t>5d5.6s.(7S).7s</t>
  </si>
  <si>
    <t>3/2?</t>
  </si>
  <si>
    <t>439*</t>
  </si>
  <si>
    <t>442*</t>
  </si>
  <si>
    <t>447*</t>
  </si>
  <si>
    <t>4490*</t>
  </si>
  <si>
    <t>4494*</t>
  </si>
  <si>
    <t>5d6.(5D).6p</t>
  </si>
  <si>
    <t>453*</t>
  </si>
  <si>
    <t>454*</t>
  </si>
  <si>
    <t>459*</t>
  </si>
  <si>
    <t>463*</t>
  </si>
  <si>
    <t>466*</t>
  </si>
  <si>
    <t>467*</t>
  </si>
  <si>
    <t>471*</t>
  </si>
  <si>
    <t>472*</t>
  </si>
  <si>
    <t>4770*</t>
  </si>
  <si>
    <t>4777*</t>
  </si>
  <si>
    <t>478*</t>
  </si>
  <si>
    <t>481*</t>
  </si>
  <si>
    <t>485*</t>
  </si>
  <si>
    <t>487*</t>
  </si>
  <si>
    <t>488*</t>
  </si>
  <si>
    <t>490*</t>
  </si>
  <si>
    <t>492*</t>
  </si>
  <si>
    <t>4954*</t>
  </si>
  <si>
    <t>4957*</t>
  </si>
  <si>
    <t>4958*</t>
  </si>
  <si>
    <t>5011*</t>
  </si>
  <si>
    <t>5015*</t>
  </si>
  <si>
    <t>5019*</t>
  </si>
  <si>
    <t>502*</t>
  </si>
  <si>
    <t>503*</t>
  </si>
  <si>
    <t>5d5.6s.(7S).6d</t>
  </si>
  <si>
    <t>505*</t>
  </si>
  <si>
    <t>506*</t>
  </si>
  <si>
    <t>509*</t>
  </si>
  <si>
    <t>510*</t>
  </si>
  <si>
    <t>511*</t>
  </si>
  <si>
    <t>512*</t>
  </si>
  <si>
    <t>515*</t>
  </si>
  <si>
    <t>516*</t>
  </si>
  <si>
    <t>518*</t>
  </si>
  <si>
    <t>520*</t>
  </si>
  <si>
    <t>521*</t>
  </si>
  <si>
    <t>522*</t>
  </si>
  <si>
    <t>523*</t>
  </si>
  <si>
    <t>524*</t>
  </si>
  <si>
    <t>526*</t>
  </si>
  <si>
    <t>527*</t>
  </si>
  <si>
    <t>528*</t>
  </si>
  <si>
    <t>52951*</t>
  </si>
  <si>
    <t>52954*</t>
  </si>
  <si>
    <t>530*</t>
  </si>
  <si>
    <t>531*</t>
  </si>
  <si>
    <t>532*</t>
  </si>
  <si>
    <t>5332*</t>
  </si>
  <si>
    <t>5333*</t>
  </si>
  <si>
    <t>5337*</t>
  </si>
  <si>
    <t>5338*</t>
  </si>
  <si>
    <t>5d5.6s.(7S).8s</t>
  </si>
  <si>
    <t>534*</t>
  </si>
  <si>
    <t>537*</t>
  </si>
  <si>
    <t>538*</t>
  </si>
  <si>
    <t>539*</t>
  </si>
  <si>
    <t>5401*</t>
  </si>
  <si>
    <t>5408*</t>
  </si>
  <si>
    <t>541*</t>
  </si>
  <si>
    <t>542*</t>
  </si>
  <si>
    <t>544*</t>
  </si>
  <si>
    <t>545*</t>
  </si>
  <si>
    <t>547*</t>
  </si>
  <si>
    <t>548*</t>
  </si>
  <si>
    <t>549*</t>
  </si>
  <si>
    <t>552*</t>
  </si>
  <si>
    <t>554*</t>
  </si>
  <si>
    <t>557*</t>
  </si>
  <si>
    <t>559*</t>
  </si>
  <si>
    <t>563*</t>
  </si>
  <si>
    <t>564*</t>
  </si>
  <si>
    <t>565*</t>
  </si>
  <si>
    <t>566*</t>
  </si>
  <si>
    <t>568*</t>
  </si>
  <si>
    <t>570*</t>
  </si>
  <si>
    <t>571*</t>
  </si>
  <si>
    <t>572*</t>
  </si>
  <si>
    <t>573*</t>
  </si>
  <si>
    <t>574*</t>
  </si>
  <si>
    <t>575*</t>
  </si>
  <si>
    <t>576*</t>
  </si>
  <si>
    <t>5d4.6s2.(5D).7s</t>
  </si>
  <si>
    <t>580*</t>
  </si>
  <si>
    <t>582*</t>
  </si>
  <si>
    <t>583*</t>
  </si>
  <si>
    <t>584*</t>
  </si>
  <si>
    <t>586*</t>
  </si>
  <si>
    <t>591*</t>
  </si>
  <si>
    <t>592*</t>
  </si>
  <si>
    <t>593*</t>
  </si>
  <si>
    <t>594*</t>
  </si>
  <si>
    <t>597*</t>
  </si>
  <si>
    <t>599*</t>
  </si>
  <si>
    <t>607*</t>
  </si>
  <si>
    <t>608*</t>
  </si>
  <si>
    <t>621*</t>
  </si>
  <si>
    <t>623*</t>
  </si>
  <si>
    <t>624*</t>
  </si>
  <si>
    <t>Re II (5d5.6s 7S&lt;3&gt;)</t>
  </si>
  <si>
    <t>632*</t>
  </si>
  <si>
    <t>637*</t>
  </si>
  <si>
    <t>639*</t>
  </si>
  <si>
    <t>5d6.6s2</t>
  </si>
  <si>
    <t>5d7.(4F).6s</t>
  </si>
  <si>
    <t>5d7.(4P).6s</t>
  </si>
  <si>
    <t>5d6.6s.(6D).6p</t>
  </si>
  <si>
    <t>2795*</t>
  </si>
  <si>
    <t>2860*</t>
  </si>
  <si>
    <t>2938*</t>
  </si>
  <si>
    <t>3007*</t>
  </si>
  <si>
    <t>3027*</t>
  </si>
  <si>
    <t>3052*</t>
  </si>
  <si>
    <t>3059*</t>
  </si>
  <si>
    <t>3245*</t>
  </si>
  <si>
    <t>3268*</t>
  </si>
  <si>
    <t>3312*</t>
  </si>
  <si>
    <t>3412*</t>
  </si>
  <si>
    <t>3436*</t>
  </si>
  <si>
    <t>3480*</t>
  </si>
  <si>
    <t>3509*</t>
  </si>
  <si>
    <t>3561*</t>
  </si>
  <si>
    <t>3591*</t>
  </si>
  <si>
    <t>3634*</t>
  </si>
  <si>
    <t>3663*</t>
  </si>
  <si>
    <t>3680*</t>
  </si>
  <si>
    <t>3681*</t>
  </si>
  <si>
    <t>3682*</t>
  </si>
  <si>
    <t>3697*</t>
  </si>
  <si>
    <t>3780*</t>
  </si>
  <si>
    <t>3790*</t>
  </si>
  <si>
    <t>3792*</t>
  </si>
  <si>
    <t>3813*</t>
  </si>
  <si>
    <t>3824*</t>
  </si>
  <si>
    <t>3826*</t>
  </si>
  <si>
    <t>3833*</t>
  </si>
  <si>
    <t>3848*</t>
  </si>
  <si>
    <t>3861*</t>
  </si>
  <si>
    <t>3874*</t>
  </si>
  <si>
    <t>3887*</t>
  </si>
  <si>
    <t>3938*</t>
  </si>
  <si>
    <t>3940*</t>
  </si>
  <si>
    <t>3949*</t>
  </si>
  <si>
    <t>3967*</t>
  </si>
  <si>
    <t>4008*</t>
  </si>
  <si>
    <t>4029*</t>
  </si>
  <si>
    <t>4036*</t>
  </si>
  <si>
    <t>4049*</t>
  </si>
  <si>
    <t>4088*</t>
  </si>
  <si>
    <t>4102*</t>
  </si>
  <si>
    <t>4122*</t>
  </si>
  <si>
    <t>4123*</t>
  </si>
  <si>
    <t>4172*</t>
  </si>
  <si>
    <t>4187*</t>
  </si>
  <si>
    <t>4229*</t>
  </si>
  <si>
    <t>4231*</t>
  </si>
  <si>
    <t>4242*</t>
  </si>
  <si>
    <t>4258*</t>
  </si>
  <si>
    <t>4265*</t>
  </si>
  <si>
    <t>4274*</t>
  </si>
  <si>
    <t>4301*</t>
  </si>
  <si>
    <t>4340*</t>
  </si>
  <si>
    <t>4343*</t>
  </si>
  <si>
    <t>4351*</t>
  </si>
  <si>
    <t>4361*</t>
  </si>
  <si>
    <t>4375*</t>
  </si>
  <si>
    <t>4386*</t>
  </si>
  <si>
    <t>4387*</t>
  </si>
  <si>
    <t>4407*</t>
  </si>
  <si>
    <t>4414*</t>
  </si>
  <si>
    <t>4447*</t>
  </si>
  <si>
    <t>4472*</t>
  </si>
  <si>
    <t>4483*</t>
  </si>
  <si>
    <t>4486*</t>
  </si>
  <si>
    <t>4489*</t>
  </si>
  <si>
    <t>4492*</t>
  </si>
  <si>
    <t>4531*</t>
  </si>
  <si>
    <t>4538*</t>
  </si>
  <si>
    <t>4550*</t>
  </si>
  <si>
    <t>4556*</t>
  </si>
  <si>
    <t>4575*</t>
  </si>
  <si>
    <t>4577*</t>
  </si>
  <si>
    <t>4616*</t>
  </si>
  <si>
    <t>4620*</t>
  </si>
  <si>
    <t>4626*</t>
  </si>
  <si>
    <t>4632*</t>
  </si>
  <si>
    <t>4640*</t>
  </si>
  <si>
    <t>4651*</t>
  </si>
  <si>
    <t>4677*</t>
  </si>
  <si>
    <t>4681*</t>
  </si>
  <si>
    <t>4694*</t>
  </si>
  <si>
    <t>4705*</t>
  </si>
  <si>
    <t>4715*</t>
  </si>
  <si>
    <t>5d6.6s.(6D).7s</t>
  </si>
  <si>
    <t>4720*</t>
  </si>
  <si>
    <t>4747*</t>
  </si>
  <si>
    <t>4753*</t>
  </si>
  <si>
    <t>4761*</t>
  </si>
  <si>
    <t>4782*</t>
  </si>
  <si>
    <t>4784*</t>
  </si>
  <si>
    <t>4785*</t>
  </si>
  <si>
    <t>4793*</t>
  </si>
  <si>
    <t>4795*</t>
  </si>
  <si>
    <t>4813*</t>
  </si>
  <si>
    <t>4830*</t>
  </si>
  <si>
    <t>4833*</t>
  </si>
  <si>
    <t>4840*</t>
  </si>
  <si>
    <t>4852*</t>
  </si>
  <si>
    <t>4854*</t>
  </si>
  <si>
    <t>4875*</t>
  </si>
  <si>
    <t>4877*</t>
  </si>
  <si>
    <t>4887*</t>
  </si>
  <si>
    <t>4899*</t>
  </si>
  <si>
    <t>4905*</t>
  </si>
  <si>
    <t>4911*</t>
  </si>
  <si>
    <t>4913*</t>
  </si>
  <si>
    <t>4920*</t>
  </si>
  <si>
    <t>4946*</t>
  </si>
  <si>
    <t>4948*</t>
  </si>
  <si>
    <t>4953*</t>
  </si>
  <si>
    <t>4961*</t>
  </si>
  <si>
    <t>4968*</t>
  </si>
  <si>
    <t>4987*</t>
  </si>
  <si>
    <t>4990*</t>
  </si>
  <si>
    <t>4994*</t>
  </si>
  <si>
    <t>5000*</t>
  </si>
  <si>
    <t>5027*</t>
  </si>
  <si>
    <t>5029*</t>
  </si>
  <si>
    <t>5031*</t>
  </si>
  <si>
    <t>5032*</t>
  </si>
  <si>
    <t>5037*</t>
  </si>
  <si>
    <t>5045*</t>
  </si>
  <si>
    <t>5050*</t>
  </si>
  <si>
    <t>5053*</t>
  </si>
  <si>
    <t>5063*</t>
  </si>
  <si>
    <t>5067*</t>
  </si>
  <si>
    <t>5090*</t>
  </si>
  <si>
    <t>5093*</t>
  </si>
  <si>
    <t>5098*</t>
  </si>
  <si>
    <t>5104*</t>
  </si>
  <si>
    <t>5116*</t>
  </si>
  <si>
    <t>5121*</t>
  </si>
  <si>
    <t>5122*</t>
  </si>
  <si>
    <t>5131*</t>
  </si>
  <si>
    <t>5132*</t>
  </si>
  <si>
    <t>5154*</t>
  </si>
  <si>
    <t>5165*</t>
  </si>
  <si>
    <t>5175*</t>
  </si>
  <si>
    <t>5204*</t>
  </si>
  <si>
    <t>5213*</t>
  </si>
  <si>
    <t>5216*</t>
  </si>
  <si>
    <t>5233*</t>
  </si>
  <si>
    <t>5237*</t>
  </si>
  <si>
    <t>5249*</t>
  </si>
  <si>
    <t>5256*</t>
  </si>
  <si>
    <t>5260*</t>
  </si>
  <si>
    <t>5267*</t>
  </si>
  <si>
    <t>5271*</t>
  </si>
  <si>
    <t>5280*</t>
  </si>
  <si>
    <t>5293*</t>
  </si>
  <si>
    <t>5307*</t>
  </si>
  <si>
    <t>5313*</t>
  </si>
  <si>
    <t>5342*</t>
  </si>
  <si>
    <t>5344*</t>
  </si>
  <si>
    <t>5345*</t>
  </si>
  <si>
    <t>5357*</t>
  </si>
  <si>
    <t>5364*</t>
  </si>
  <si>
    <t>5388*</t>
  </si>
  <si>
    <t>5404*</t>
  </si>
  <si>
    <t>5406*</t>
  </si>
  <si>
    <t>5430*</t>
  </si>
  <si>
    <t>5432*</t>
  </si>
  <si>
    <t>5448*</t>
  </si>
  <si>
    <t>5475*</t>
  </si>
  <si>
    <t>5480*</t>
  </si>
  <si>
    <t>5486*</t>
  </si>
  <si>
    <t>5712*</t>
  </si>
  <si>
    <t>Os II (5d6.6s 6D&lt;9/2&gt;)</t>
  </si>
  <si>
    <t>L8105</t>
  </si>
  <si>
    <t>5d7.6s2</t>
  </si>
  <si>
    <t>5d8.(3F).6s</t>
  </si>
  <si>
    <t>5d8.(3P).6s</t>
  </si>
  <si>
    <t>5d8.(1D).6s</t>
  </si>
  <si>
    <t>5d7.6s.(5F).6p</t>
  </si>
  <si>
    <t>5d8.(1G).6s</t>
  </si>
  <si>
    <t>5d9</t>
  </si>
  <si>
    <t>3822*</t>
  </si>
  <si>
    <t>3835*</t>
  </si>
  <si>
    <t>3856*</t>
  </si>
  <si>
    <t>3928*</t>
  </si>
  <si>
    <t>3932*</t>
  </si>
  <si>
    <t>3980*</t>
  </si>
  <si>
    <t>3994*</t>
  </si>
  <si>
    <t>4038*</t>
  </si>
  <si>
    <t>4052*</t>
  </si>
  <si>
    <t>4071*</t>
  </si>
  <si>
    <t>4111*</t>
  </si>
  <si>
    <t>4121*</t>
  </si>
  <si>
    <t>4152*</t>
  </si>
  <si>
    <t>4201*</t>
  </si>
  <si>
    <t>4202*</t>
  </si>
  <si>
    <t>4213*</t>
  </si>
  <si>
    <t>4226*</t>
  </si>
  <si>
    <t>4227*</t>
  </si>
  <si>
    <t>4307*</t>
  </si>
  <si>
    <t>4317*</t>
  </si>
  <si>
    <t>4320*</t>
  </si>
  <si>
    <t>4359*</t>
  </si>
  <si>
    <t>4456*</t>
  </si>
  <si>
    <t>4459*</t>
  </si>
  <si>
    <t>4464*</t>
  </si>
  <si>
    <t>4465*</t>
  </si>
  <si>
    <t>4478*</t>
  </si>
  <si>
    <t>4511*</t>
  </si>
  <si>
    <t>4518*</t>
  </si>
  <si>
    <t>4525*</t>
  </si>
  <si>
    <t>4541*</t>
  </si>
  <si>
    <t>4557*</t>
  </si>
  <si>
    <t>4589*</t>
  </si>
  <si>
    <t>4595*</t>
  </si>
  <si>
    <t>4609*</t>
  </si>
  <si>
    <t>4637*</t>
  </si>
  <si>
    <t>4647*</t>
  </si>
  <si>
    <t>4661*</t>
  </si>
  <si>
    <t>4697*</t>
  </si>
  <si>
    <t>4701*</t>
  </si>
  <si>
    <t>4716*</t>
  </si>
  <si>
    <t>4754*</t>
  </si>
  <si>
    <t>4820*</t>
  </si>
  <si>
    <t>4829*</t>
  </si>
  <si>
    <t>4844*</t>
  </si>
  <si>
    <t>4862*</t>
  </si>
  <si>
    <t>4880*</t>
  </si>
  <si>
    <t>4914*</t>
  </si>
  <si>
    <t>4915*</t>
  </si>
  <si>
    <t>4934*</t>
  </si>
  <si>
    <t>4944*</t>
  </si>
  <si>
    <t>4962*</t>
  </si>
  <si>
    <t>4971*</t>
  </si>
  <si>
    <t>4977*</t>
  </si>
  <si>
    <t>4982*</t>
  </si>
  <si>
    <t>5005*</t>
  </si>
  <si>
    <t>5010*</t>
  </si>
  <si>
    <t>5016*</t>
  </si>
  <si>
    <t>5043*</t>
  </si>
  <si>
    <t>5044*</t>
  </si>
  <si>
    <t>5056*</t>
  </si>
  <si>
    <t>5060*</t>
  </si>
  <si>
    <t>5110*</t>
  </si>
  <si>
    <t>5d7.6s.(5F).7s</t>
  </si>
  <si>
    <t>5142*</t>
  </si>
  <si>
    <t>5147*</t>
  </si>
  <si>
    <t>5181*</t>
  </si>
  <si>
    <t>5185*</t>
  </si>
  <si>
    <t>5198*</t>
  </si>
  <si>
    <t>5205*</t>
  </si>
  <si>
    <t>5222*</t>
  </si>
  <si>
    <t>5226*</t>
  </si>
  <si>
    <t>5230*</t>
  </si>
  <si>
    <t>5232*</t>
  </si>
  <si>
    <t>5238*</t>
  </si>
  <si>
    <t>5355*</t>
  </si>
  <si>
    <t>5368*</t>
  </si>
  <si>
    <t>5377*</t>
  </si>
  <si>
    <t>5411*</t>
  </si>
  <si>
    <t>5414*</t>
  </si>
  <si>
    <t>5426*</t>
  </si>
  <si>
    <t>5431*</t>
  </si>
  <si>
    <t>5456*</t>
  </si>
  <si>
    <t>5463*</t>
  </si>
  <si>
    <t>5466*</t>
  </si>
  <si>
    <t>5471*</t>
  </si>
  <si>
    <t>5489*</t>
  </si>
  <si>
    <t>5498*</t>
  </si>
  <si>
    <t>5503*</t>
  </si>
  <si>
    <t>5511*</t>
  </si>
  <si>
    <t>5516*</t>
  </si>
  <si>
    <t>5549*</t>
  </si>
  <si>
    <t>5561*</t>
  </si>
  <si>
    <t>5563*</t>
  </si>
  <si>
    <t>5591*</t>
  </si>
  <si>
    <t>5597*</t>
  </si>
  <si>
    <t>5601*</t>
  </si>
  <si>
    <t>5612*</t>
  </si>
  <si>
    <t>5626*</t>
  </si>
  <si>
    <t>5637*</t>
  </si>
  <si>
    <t>5653*</t>
  </si>
  <si>
    <t>5678*</t>
  </si>
  <si>
    <t>5704*</t>
  </si>
  <si>
    <t>5718*</t>
  </si>
  <si>
    <t>5724*</t>
  </si>
  <si>
    <t>5769*</t>
  </si>
  <si>
    <t>5773*</t>
  </si>
  <si>
    <t>5777*</t>
  </si>
  <si>
    <t>5804*</t>
  </si>
  <si>
    <t>5811*</t>
  </si>
  <si>
    <t>5847*</t>
  </si>
  <si>
    <t>5857*</t>
  </si>
  <si>
    <t>5862*</t>
  </si>
  <si>
    <t>5915*</t>
  </si>
  <si>
    <t>5935*</t>
  </si>
  <si>
    <t>5956*</t>
  </si>
  <si>
    <t>5961*</t>
  </si>
  <si>
    <t>5972*</t>
  </si>
  <si>
    <t>6026*</t>
  </si>
  <si>
    <t>6041*</t>
  </si>
  <si>
    <t>6064*</t>
  </si>
  <si>
    <t>6066*</t>
  </si>
  <si>
    <t>6072*</t>
  </si>
  <si>
    <t>6079*</t>
  </si>
  <si>
    <t>6107*</t>
  </si>
  <si>
    <t>6207*</t>
  </si>
  <si>
    <t>Ir II (5d7.6s 5F&lt;5&gt;)</t>
  </si>
  <si>
    <t>5d10.6s2</t>
  </si>
  <si>
    <t>L9019</t>
  </si>
  <si>
    <t>5d10.6s.6p</t>
  </si>
  <si>
    <t>5d10.6s.7s</t>
  </si>
  <si>
    <t>5d9.6s2.(2D&lt;5/2&gt;).6p</t>
  </si>
  <si>
    <t>5d10.6s.7p</t>
  </si>
  <si>
    <t>5d10.6s.6d</t>
  </si>
  <si>
    <t>5d10.6s.8s</t>
  </si>
  <si>
    <t>5d10.6s.8p</t>
  </si>
  <si>
    <t>5d10.6s.7d</t>
  </si>
  <si>
    <t>5d10.6s.5f</t>
  </si>
  <si>
    <t>5d10.6s.9s</t>
  </si>
  <si>
    <t>5d10.6s.9p</t>
  </si>
  <si>
    <t>5d10.6s.8d</t>
  </si>
  <si>
    <t>5d10.6s.6f</t>
  </si>
  <si>
    <t>5d10.6s.5g</t>
  </si>
  <si>
    <t>5d10.6s.10s</t>
  </si>
  <si>
    <t>5d10.6s.10p</t>
  </si>
  <si>
    <t>5d10.6s.9d</t>
  </si>
  <si>
    <t>5d10.6s.7f</t>
  </si>
  <si>
    <t>5d10.6s.6g</t>
  </si>
  <si>
    <t>5d10.6s.11s</t>
  </si>
  <si>
    <t>5d10.6s.11p</t>
  </si>
  <si>
    <t>5d10.6s.10d</t>
  </si>
  <si>
    <t>5d10.6s.8f</t>
  </si>
  <si>
    <t>5d10.6s.7g</t>
  </si>
  <si>
    <t>5d10.6s.12s</t>
  </si>
  <si>
    <t>5d10.6s.12p</t>
  </si>
  <si>
    <t>5d10.6s.11d</t>
  </si>
  <si>
    <t>5d10.6s.9f</t>
  </si>
  <si>
    <t>5d10.6s.8g</t>
  </si>
  <si>
    <t>5d10.6s.13s</t>
  </si>
  <si>
    <t>5d10.6s.13p</t>
  </si>
  <si>
    <t>5d10.6s.12d</t>
  </si>
  <si>
    <t>5d10.6s.10f</t>
  </si>
  <si>
    <t>5d10.6s.9g</t>
  </si>
  <si>
    <t>5d10.6s.14s</t>
  </si>
  <si>
    <t>5d10.6s.14p</t>
  </si>
  <si>
    <t>5d10.6s.13d</t>
  </si>
  <si>
    <t>5d10.6s.11f</t>
  </si>
  <si>
    <t>5d10.6s.10g</t>
  </si>
  <si>
    <t>5d10.6s.15s</t>
  </si>
  <si>
    <t>5d10.6s.15p</t>
  </si>
  <si>
    <t>5d10.6s.14d</t>
  </si>
  <si>
    <t>5d10.6s.12f</t>
  </si>
  <si>
    <t>5d10.6s.11g</t>
  </si>
  <si>
    <t>5d10.6s.16s</t>
  </si>
  <si>
    <t>5d10.6s.16p</t>
  </si>
  <si>
    <t>5d10.6s.15d</t>
  </si>
  <si>
    <t>5d10.6s.13f</t>
  </si>
  <si>
    <t>5d10.6s.17s</t>
  </si>
  <si>
    <t>5d10.6s.17p</t>
  </si>
  <si>
    <t>5d10.6s.16d</t>
  </si>
  <si>
    <t>5d10.6s.14f</t>
  </si>
  <si>
    <t>5d10.6s.18s</t>
  </si>
  <si>
    <t>5d10.6s.18p</t>
  </si>
  <si>
    <t>5d10.6s.17d</t>
  </si>
  <si>
    <t>5d10.6s.15f</t>
  </si>
  <si>
    <t>5d10.6s.19s</t>
  </si>
  <si>
    <t>5d10.6s.19p</t>
  </si>
  <si>
    <t>5d10.6s.16f</t>
  </si>
  <si>
    <t>5d10.6s.18d</t>
  </si>
  <si>
    <t>5d10.6s.20s</t>
  </si>
  <si>
    <t>5d10.6s.20p</t>
  </si>
  <si>
    <t>5d10.6s.19d</t>
  </si>
  <si>
    <t>5d10.6s.17f</t>
  </si>
  <si>
    <t>5d10.6s.20d</t>
  </si>
  <si>
    <t>5d10.6s.18f</t>
  </si>
  <si>
    <t>5d10.6s.19f</t>
  </si>
  <si>
    <t>5d10.6s.20f</t>
  </si>
  <si>
    <t>5d10.6s.21f</t>
  </si>
  <si>
    <t>Hg II (6s 2S&lt;1/2&gt;)</t>
  </si>
  <si>
    <t>L11931,L11984</t>
  </si>
  <si>
    <t>5d9.6s2.(2D&lt;3/2&gt;).6p</t>
  </si>
  <si>
    <t>5d10.6p2</t>
  </si>
  <si>
    <t>5d9.6s2.(2D&lt;5/2&gt;).7s</t>
  </si>
  <si>
    <t>5d9.6s2.(2D&lt;5/2&gt;).7p</t>
  </si>
  <si>
    <t>5d9.6s2.(2D&lt;5/2&gt;).8p</t>
  </si>
  <si>
    <t>5d9.6s2.(2D&lt;5/2&gt;).5f</t>
  </si>
  <si>
    <t>5d9.6s2.(2D&lt;5/2&gt;).9p</t>
  </si>
  <si>
    <t>5d9.6s2.(2D&lt;5/2&gt;).6f</t>
  </si>
  <si>
    <t>5d9.6s2.(2D&lt;5/2&gt;).10p</t>
  </si>
  <si>
    <t>5d9.6s2.(2D&lt;5/2&gt;).7f</t>
  </si>
  <si>
    <t>5d9.6s2.(2D&lt;5/2&gt;).11p</t>
  </si>
  <si>
    <t>5d9.6s2.(2D&lt;5/2&gt;).8f</t>
  </si>
  <si>
    <t>5d9.6s2.(2D&lt;5/2&gt;).12p</t>
  </si>
  <si>
    <t>5d9.6s2.(2D&lt;5/2&gt;).9f</t>
  </si>
  <si>
    <t>5d9.6s2.(2D&lt;5/2&gt;).13p</t>
  </si>
  <si>
    <t>5d9.6s2.(2D&lt;5/2&gt;).10f</t>
  </si>
  <si>
    <t>5d9.6s2.(2D&lt;5/2&gt;).14p</t>
  </si>
  <si>
    <t>5d9.6s2.(2D&lt;5/2&gt;).11f</t>
  </si>
  <si>
    <t>5d9.6s2.(2D&lt;5/2&gt;).15p</t>
  </si>
  <si>
    <t>5d9.6s2.(2D&lt;5/2&gt;).12f</t>
  </si>
  <si>
    <t>5d9.6s2.(2D&lt;5/2&gt;).16p</t>
  </si>
  <si>
    <t>5d9.6s2.(2D&lt;5/2&gt;).13f</t>
  </si>
  <si>
    <t>5d9.6s2.(2D&lt;5/2&gt;).17p</t>
  </si>
  <si>
    <t>5d9.6s2.(2D&lt;5/2&gt;).18p</t>
  </si>
  <si>
    <t>5d9.6s2.(2D&lt;5/2&gt;).19p</t>
  </si>
  <si>
    <t>5d9.6s2.(2D&lt;5/2&gt;).20p</t>
  </si>
  <si>
    <t>Hg II (5d9.6s2 2D&lt;5/2&gt;)</t>
  </si>
  <si>
    <t>5d9.6s2.(2D&lt;3/2&gt;).7p</t>
  </si>
  <si>
    <t>5d9.6s2.(2D&lt;3/2&gt;).8p</t>
  </si>
  <si>
    <t>5d9.6s2.(2D&lt;3/2&gt;).5f</t>
  </si>
  <si>
    <t>5d9.6s2.(2D&lt;3/2&gt;).9p</t>
  </si>
  <si>
    <t>5d9.6s2.(2D&lt;3/2&gt;).6f</t>
  </si>
  <si>
    <t>5d9.6s2.(2D&lt;3/2&gt;).10p</t>
  </si>
  <si>
    <t>5d9.6s2.(2D&lt;3/2&gt;).7f</t>
  </si>
  <si>
    <t>5d9.6s2.(2D&lt;3/2&gt;).11p</t>
  </si>
  <si>
    <t>5d9.6s2.(2D&lt;3/2&gt;).8f</t>
  </si>
  <si>
    <t>5d9.6s2.(2D&lt;3/2&gt;).12p</t>
  </si>
  <si>
    <t>5d9.6s2.(2D&lt;3/2&gt;).9f</t>
  </si>
  <si>
    <t>5d9.6s2.(2D&lt;3/2&gt;).13p</t>
  </si>
  <si>
    <t>5d9.6s2.(2D&lt;3/2&gt;).10f</t>
  </si>
  <si>
    <t>5d9.6s2.(2D&lt;3/2&gt;).14p</t>
  </si>
  <si>
    <t>5d9.6s2.(2D&lt;3/2&gt;).11f</t>
  </si>
  <si>
    <t>5d9.6s2.(2D&lt;3/2&gt;).15p</t>
  </si>
  <si>
    <t>5d9.6s2.(2D&lt;3/2&gt;).12f</t>
  </si>
  <si>
    <t>5d9.6s2.(2D&lt;3/2&gt;).13f</t>
  </si>
  <si>
    <t>5d9.6s2.(2D&lt;3/2&gt;).16p</t>
  </si>
  <si>
    <t>5d9.6s2.(2D&lt;3/2&gt;).17p</t>
  </si>
  <si>
    <t>5d9.6s2.(2D&lt;3/2&gt;).18p</t>
  </si>
  <si>
    <t>5d9.6s2.(2D&lt;3/2&gt;).19p</t>
  </si>
  <si>
    <t>5d9.6s2.(2D&lt;3/2&gt;).20p</t>
  </si>
  <si>
    <t>Hg II (5d9.6s2 2D&lt;3/2&gt;)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</si>
</sst>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5CED-1A50-4478-8869-8958D5A4F920}">
  <dimension ref="A1:J479"/>
  <sheetViews>
    <sheetView workbookViewId="0">
      <selection sqref="A1:J1048576"/>
    </sheetView>
  </sheetViews>
  <sheetFormatPr defaultRowHeight="15"/>
  <cols>
    <col min="1" max="1" width="16.7109375" bestFit="1" customWidth="1"/>
    <col min="2" max="2" width="5.5703125" bestFit="1" customWidth="1"/>
    <col min="3" max="3" width="9.425781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8" bestFit="1" customWidth="1"/>
    <col min="9" max="9" width="32" bestFit="1" customWidth="1"/>
    <col min="10" max="10" width="11.2851562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573</v>
      </c>
      <c r="B2" t="s">
        <v>209</v>
      </c>
      <c r="C2" s="2" t="s">
        <v>250</v>
      </c>
      <c r="E2">
        <v>0</v>
      </c>
      <c r="G2">
        <v>0</v>
      </c>
      <c r="H2">
        <v>0.79932999999999998</v>
      </c>
      <c r="I2">
        <v>98</v>
      </c>
      <c r="J2" t="s">
        <v>574</v>
      </c>
    </row>
    <row r="3" spans="1:10">
      <c r="A3" t="s">
        <v>573</v>
      </c>
      <c r="B3" t="s">
        <v>209</v>
      </c>
      <c r="C3" s="2" t="s">
        <v>249</v>
      </c>
      <c r="E3">
        <v>168.33709999999999</v>
      </c>
      <c r="G3">
        <v>2.0999999999999999E-3</v>
      </c>
      <c r="H3">
        <v>1.2002900000000001</v>
      </c>
      <c r="I3">
        <v>98</v>
      </c>
    </row>
    <row r="4" spans="1:10">
      <c r="A4" t="s">
        <v>575</v>
      </c>
      <c r="B4" t="s">
        <v>576</v>
      </c>
      <c r="C4" s="2" t="s">
        <v>250</v>
      </c>
      <c r="E4">
        <v>11519.9611</v>
      </c>
      <c r="G4">
        <v>2.5000000000000001E-3</v>
      </c>
      <c r="H4">
        <v>0.4</v>
      </c>
      <c r="I4">
        <v>100</v>
      </c>
    </row>
    <row r="5" spans="1:10">
      <c r="A5" t="s">
        <v>575</v>
      </c>
      <c r="B5" t="s">
        <v>576</v>
      </c>
      <c r="C5" s="2" t="s">
        <v>249</v>
      </c>
      <c r="E5">
        <v>11557.6556</v>
      </c>
      <c r="G5">
        <v>2.3999999999999998E-3</v>
      </c>
      <c r="H5">
        <v>1.026</v>
      </c>
      <c r="I5">
        <v>100</v>
      </c>
    </row>
    <row r="6" spans="1:10">
      <c r="A6" t="s">
        <v>575</v>
      </c>
      <c r="B6" t="s">
        <v>576</v>
      </c>
      <c r="C6" s="2" t="s">
        <v>251</v>
      </c>
      <c r="E6">
        <v>11610.235699999999</v>
      </c>
      <c r="G6">
        <v>2.5999999999999999E-3</v>
      </c>
      <c r="H6">
        <v>1.244</v>
      </c>
      <c r="I6">
        <v>100</v>
      </c>
    </row>
    <row r="7" spans="1:10">
      <c r="A7" t="s">
        <v>575</v>
      </c>
      <c r="B7" t="s">
        <v>576</v>
      </c>
      <c r="C7" s="2" t="s">
        <v>252</v>
      </c>
      <c r="E7">
        <v>11677.312099999999</v>
      </c>
      <c r="G7">
        <v>2.8999999999999998E-3</v>
      </c>
      <c r="H7">
        <v>1.325</v>
      </c>
      <c r="I7">
        <v>100</v>
      </c>
    </row>
    <row r="8" spans="1:10">
      <c r="A8" t="s">
        <v>575</v>
      </c>
      <c r="B8" t="s">
        <v>577</v>
      </c>
      <c r="C8" s="2" t="s">
        <v>249</v>
      </c>
      <c r="E8">
        <v>14926.061</v>
      </c>
      <c r="G8">
        <v>1.0999999999999999E-2</v>
      </c>
      <c r="H8">
        <v>0.86099999999999999</v>
      </c>
      <c r="I8">
        <v>100</v>
      </c>
    </row>
    <row r="9" spans="1:10">
      <c r="A9" t="s">
        <v>575</v>
      </c>
      <c r="B9" t="s">
        <v>577</v>
      </c>
      <c r="C9" s="2" t="s">
        <v>251</v>
      </c>
      <c r="E9">
        <v>15041.902</v>
      </c>
      <c r="G9">
        <v>8.0000000000000002E-3</v>
      </c>
      <c r="H9">
        <v>1.1339999999999999</v>
      </c>
      <c r="I9">
        <v>100</v>
      </c>
    </row>
    <row r="10" spans="1:10">
      <c r="A10" t="s">
        <v>578</v>
      </c>
      <c r="B10" t="s">
        <v>214</v>
      </c>
      <c r="C10" s="2" t="s">
        <v>250</v>
      </c>
      <c r="E10">
        <v>15672.559499999999</v>
      </c>
      <c r="G10">
        <v>2.5999999999999999E-3</v>
      </c>
      <c r="H10">
        <v>0.42599999999999999</v>
      </c>
      <c r="I10">
        <v>96</v>
      </c>
    </row>
    <row r="11" spans="1:10">
      <c r="A11" t="s">
        <v>578</v>
      </c>
      <c r="B11" t="s">
        <v>214</v>
      </c>
      <c r="C11" s="2" t="s">
        <v>249</v>
      </c>
      <c r="E11">
        <v>15756.529500000001</v>
      </c>
      <c r="G11">
        <v>2.5999999999999999E-3</v>
      </c>
      <c r="H11">
        <v>1.036</v>
      </c>
      <c r="I11">
        <v>96</v>
      </c>
    </row>
    <row r="12" spans="1:10">
      <c r="A12" t="s">
        <v>578</v>
      </c>
      <c r="B12" t="s">
        <v>214</v>
      </c>
      <c r="C12" s="2" t="s">
        <v>251</v>
      </c>
      <c r="E12">
        <v>15881.708199999999</v>
      </c>
      <c r="G12">
        <v>2.5999999999999999E-3</v>
      </c>
      <c r="H12">
        <v>1.232</v>
      </c>
      <c r="I12">
        <v>98</v>
      </c>
    </row>
    <row r="13" spans="1:10">
      <c r="A13" t="s">
        <v>578</v>
      </c>
      <c r="B13" t="s">
        <v>214</v>
      </c>
      <c r="C13" s="2" t="s">
        <v>252</v>
      </c>
      <c r="E13">
        <v>16026.552799999999</v>
      </c>
      <c r="G13">
        <v>3.3999999999999998E-3</v>
      </c>
      <c r="H13">
        <v>1.33</v>
      </c>
      <c r="I13">
        <v>99</v>
      </c>
    </row>
    <row r="14" spans="1:10">
      <c r="A14" t="s">
        <v>578</v>
      </c>
      <c r="B14" t="s">
        <v>216</v>
      </c>
      <c r="C14" s="2" t="s">
        <v>248</v>
      </c>
      <c r="E14">
        <v>16009.743200000001</v>
      </c>
      <c r="G14">
        <v>3.0000000000000001E-3</v>
      </c>
      <c r="H14">
        <v>2E-3</v>
      </c>
      <c r="I14">
        <v>97</v>
      </c>
    </row>
    <row r="15" spans="1:10">
      <c r="A15" t="s">
        <v>578</v>
      </c>
      <c r="B15" t="s">
        <v>216</v>
      </c>
      <c r="C15" s="2" t="s">
        <v>250</v>
      </c>
      <c r="E15">
        <v>16021.7788</v>
      </c>
      <c r="G15">
        <v>2.8E-3</v>
      </c>
      <c r="H15">
        <v>1.0389999999999999</v>
      </c>
      <c r="I15">
        <v>92</v>
      </c>
    </row>
    <row r="16" spans="1:10">
      <c r="A16" t="s">
        <v>578</v>
      </c>
      <c r="B16" t="s">
        <v>216</v>
      </c>
      <c r="C16" s="2" t="s">
        <v>249</v>
      </c>
      <c r="E16">
        <v>16141.001200000001</v>
      </c>
      <c r="G16">
        <v>2.5999999999999999E-3</v>
      </c>
      <c r="H16">
        <v>1.3360000000000001</v>
      </c>
      <c r="I16" t="s">
        <v>579</v>
      </c>
    </row>
    <row r="17" spans="1:9">
      <c r="A17" t="s">
        <v>578</v>
      </c>
      <c r="B17" t="s">
        <v>216</v>
      </c>
      <c r="C17" s="2" t="s">
        <v>251</v>
      </c>
      <c r="E17">
        <v>16210.814</v>
      </c>
      <c r="G17">
        <v>2.8999999999999998E-3</v>
      </c>
      <c r="H17">
        <v>1.43</v>
      </c>
      <c r="I17">
        <v>96</v>
      </c>
    </row>
    <row r="18" spans="1:9">
      <c r="A18" t="s">
        <v>580</v>
      </c>
      <c r="B18" t="s">
        <v>218</v>
      </c>
      <c r="C18" s="2" t="s">
        <v>249</v>
      </c>
      <c r="E18">
        <v>16022.7219</v>
      </c>
      <c r="G18">
        <v>2.8999999999999998E-3</v>
      </c>
      <c r="H18">
        <v>1.19</v>
      </c>
      <c r="I18" t="s">
        <v>581</v>
      </c>
    </row>
    <row r="19" spans="1:9">
      <c r="A19" t="s">
        <v>580</v>
      </c>
      <c r="B19" t="s">
        <v>218</v>
      </c>
      <c r="C19" s="2" t="s">
        <v>250</v>
      </c>
      <c r="E19">
        <v>16096.883400000001</v>
      </c>
      <c r="G19">
        <v>2.5999999999999999E-3</v>
      </c>
      <c r="H19">
        <v>0.95599999999999996</v>
      </c>
      <c r="I19" t="s">
        <v>582</v>
      </c>
    </row>
    <row r="20" spans="1:9">
      <c r="A20" t="s">
        <v>583</v>
      </c>
      <c r="B20" t="s">
        <v>209</v>
      </c>
      <c r="C20" s="2" t="s">
        <v>249</v>
      </c>
      <c r="E20">
        <v>17012.753000000001</v>
      </c>
      <c r="G20">
        <v>8.0000000000000002E-3</v>
      </c>
      <c r="H20">
        <v>1.226</v>
      </c>
      <c r="I20" t="s">
        <v>584</v>
      </c>
    </row>
    <row r="21" spans="1:9">
      <c r="A21" t="s">
        <v>583</v>
      </c>
      <c r="B21" t="s">
        <v>209</v>
      </c>
      <c r="C21" s="2" t="s">
        <v>250</v>
      </c>
      <c r="E21">
        <v>17025.127</v>
      </c>
      <c r="G21">
        <v>1.2E-2</v>
      </c>
      <c r="H21">
        <v>0.81499999999999995</v>
      </c>
      <c r="I21">
        <v>98</v>
      </c>
    </row>
    <row r="22" spans="1:9">
      <c r="A22" t="s">
        <v>585</v>
      </c>
      <c r="B22" t="s">
        <v>586</v>
      </c>
      <c r="C22" s="2" t="s">
        <v>248</v>
      </c>
      <c r="E22">
        <v>17226.025000000001</v>
      </c>
      <c r="G22">
        <v>2.5000000000000001E-2</v>
      </c>
      <c r="H22">
        <v>2.6619999999999999</v>
      </c>
      <c r="I22">
        <v>100</v>
      </c>
    </row>
    <row r="23" spans="1:9">
      <c r="A23" t="s">
        <v>585</v>
      </c>
      <c r="B23" t="s">
        <v>586</v>
      </c>
      <c r="C23" s="2" t="s">
        <v>250</v>
      </c>
      <c r="E23">
        <v>17255.076000000001</v>
      </c>
      <c r="G23">
        <v>1.4999999999999999E-2</v>
      </c>
      <c r="H23">
        <v>1.7190000000000001</v>
      </c>
      <c r="I23">
        <v>99</v>
      </c>
    </row>
    <row r="24" spans="1:9">
      <c r="A24" t="s">
        <v>585</v>
      </c>
      <c r="B24" t="s">
        <v>586</v>
      </c>
      <c r="C24" s="2" t="s">
        <v>249</v>
      </c>
      <c r="E24">
        <v>17307.069</v>
      </c>
      <c r="G24">
        <v>1.2E-2</v>
      </c>
      <c r="H24">
        <v>1.575</v>
      </c>
      <c r="I24" t="s">
        <v>587</v>
      </c>
    </row>
    <row r="25" spans="1:9">
      <c r="A25" t="s">
        <v>578</v>
      </c>
      <c r="B25" t="s">
        <v>213</v>
      </c>
      <c r="C25" s="2" t="s">
        <v>248</v>
      </c>
      <c r="E25">
        <v>18504.058000000001</v>
      </c>
      <c r="G25">
        <v>1.4E-2</v>
      </c>
      <c r="H25">
        <v>2.5289999999999999</v>
      </c>
      <c r="I25" t="s">
        <v>588</v>
      </c>
    </row>
    <row r="26" spans="1:9">
      <c r="A26" t="s">
        <v>578</v>
      </c>
      <c r="B26" t="s">
        <v>213</v>
      </c>
      <c r="C26" s="2" t="s">
        <v>250</v>
      </c>
      <c r="E26">
        <v>18515.665000000001</v>
      </c>
      <c r="G26">
        <v>8.9999999999999993E-3</v>
      </c>
      <c r="H26">
        <v>1.698</v>
      </c>
      <c r="I26" t="s">
        <v>589</v>
      </c>
    </row>
    <row r="27" spans="1:9">
      <c r="A27" t="s">
        <v>578</v>
      </c>
      <c r="B27" t="s">
        <v>213</v>
      </c>
      <c r="C27" s="2" t="s">
        <v>249</v>
      </c>
      <c r="E27">
        <v>18571.385999999999</v>
      </c>
      <c r="G27">
        <v>1.4E-2</v>
      </c>
      <c r="H27">
        <v>1.6</v>
      </c>
      <c r="I27">
        <v>98</v>
      </c>
    </row>
    <row r="28" spans="1:9">
      <c r="A28" t="s">
        <v>590</v>
      </c>
      <c r="B28" t="s">
        <v>211</v>
      </c>
      <c r="C28" s="2" t="s">
        <v>248</v>
      </c>
      <c r="E28">
        <v>18711.028999999999</v>
      </c>
      <c r="G28">
        <v>1.7999999999999999E-2</v>
      </c>
      <c r="H28">
        <v>0.77700000000000002</v>
      </c>
      <c r="I28" t="s">
        <v>591</v>
      </c>
    </row>
    <row r="29" spans="1:9">
      <c r="A29" t="s">
        <v>590</v>
      </c>
      <c r="B29" t="s">
        <v>211</v>
      </c>
      <c r="C29" s="2" t="s">
        <v>250</v>
      </c>
      <c r="E29">
        <v>18855.734</v>
      </c>
      <c r="G29">
        <v>5.0000000000000001E-3</v>
      </c>
      <c r="H29">
        <v>1.3560000000000001</v>
      </c>
      <c r="I29" t="s">
        <v>592</v>
      </c>
    </row>
    <row r="30" spans="1:9">
      <c r="A30" t="s">
        <v>593</v>
      </c>
      <c r="B30" t="s">
        <v>594</v>
      </c>
      <c r="C30" s="2" t="s">
        <v>252</v>
      </c>
      <c r="E30">
        <v>20236.877</v>
      </c>
      <c r="G30">
        <v>8.9999999999999993E-3</v>
      </c>
      <c r="H30">
        <v>1.1000000000000001</v>
      </c>
      <c r="I30">
        <v>100</v>
      </c>
    </row>
    <row r="31" spans="1:9">
      <c r="A31" t="s">
        <v>593</v>
      </c>
      <c r="B31" t="s">
        <v>594</v>
      </c>
      <c r="C31" s="2" t="s">
        <v>251</v>
      </c>
      <c r="E31">
        <v>20239.650000000001</v>
      </c>
      <c r="G31">
        <v>8.9999999999999993E-3</v>
      </c>
      <c r="H31">
        <v>0.89</v>
      </c>
      <c r="I31">
        <v>100</v>
      </c>
    </row>
    <row r="32" spans="1:9">
      <c r="A32" t="s">
        <v>585</v>
      </c>
      <c r="B32" t="s">
        <v>595</v>
      </c>
      <c r="C32" s="2" t="s">
        <v>248</v>
      </c>
      <c r="E32">
        <v>20681.41</v>
      </c>
      <c r="G32">
        <v>8.9999999999999993E-3</v>
      </c>
      <c r="H32">
        <v>0.66800000000000004</v>
      </c>
      <c r="I32">
        <v>99</v>
      </c>
    </row>
    <row r="33" spans="1:9">
      <c r="A33" t="s">
        <v>585</v>
      </c>
      <c r="B33" t="s">
        <v>595</v>
      </c>
      <c r="C33" s="2" t="s">
        <v>250</v>
      </c>
      <c r="E33">
        <v>20719.832999999999</v>
      </c>
      <c r="G33">
        <v>6.0000000000000001E-3</v>
      </c>
      <c r="H33">
        <v>1.331</v>
      </c>
      <c r="I33">
        <v>99</v>
      </c>
    </row>
    <row r="34" spans="1:9">
      <c r="A34" t="s">
        <v>580</v>
      </c>
      <c r="B34" t="s">
        <v>219</v>
      </c>
      <c r="C34" s="2" t="s">
        <v>249</v>
      </c>
      <c r="E34">
        <v>21032.732</v>
      </c>
      <c r="G34">
        <v>0.01</v>
      </c>
      <c r="H34">
        <v>0.85499999999999998</v>
      </c>
      <c r="I34" t="s">
        <v>596</v>
      </c>
    </row>
    <row r="35" spans="1:9">
      <c r="A35" t="s">
        <v>580</v>
      </c>
      <c r="B35" t="s">
        <v>219</v>
      </c>
      <c r="C35" s="2" t="s">
        <v>251</v>
      </c>
      <c r="E35">
        <v>21085.829000000002</v>
      </c>
      <c r="G35">
        <v>1.2E-2</v>
      </c>
      <c r="H35">
        <v>1.1399999999999999</v>
      </c>
      <c r="I35" t="s">
        <v>597</v>
      </c>
    </row>
    <row r="36" spans="1:9">
      <c r="A36" t="s">
        <v>580</v>
      </c>
      <c r="B36" t="s">
        <v>211</v>
      </c>
      <c r="C36" s="2" t="s">
        <v>248</v>
      </c>
      <c r="E36">
        <v>24656.712</v>
      </c>
      <c r="G36">
        <v>1.7000000000000001E-2</v>
      </c>
      <c r="I36" t="s">
        <v>598</v>
      </c>
    </row>
    <row r="37" spans="1:9">
      <c r="A37" t="s">
        <v>580</v>
      </c>
      <c r="B37" t="s">
        <v>211</v>
      </c>
      <c r="C37" s="2" t="s">
        <v>250</v>
      </c>
      <c r="E37">
        <v>24656.866000000002</v>
      </c>
      <c r="G37">
        <v>1.2999999999999999E-2</v>
      </c>
      <c r="I37" t="s">
        <v>599</v>
      </c>
    </row>
    <row r="38" spans="1:9">
      <c r="A38" t="s">
        <v>578</v>
      </c>
      <c r="B38" t="s">
        <v>218</v>
      </c>
      <c r="C38" s="2" t="s">
        <v>250</v>
      </c>
      <c r="E38">
        <v>24866.171999999999</v>
      </c>
      <c r="G38">
        <v>1.0999999999999999E-2</v>
      </c>
      <c r="H38">
        <v>0.80400000000000005</v>
      </c>
      <c r="I38" t="s">
        <v>600</v>
      </c>
    </row>
    <row r="39" spans="1:9">
      <c r="A39" t="s">
        <v>578</v>
      </c>
      <c r="B39" t="s">
        <v>218</v>
      </c>
      <c r="C39" s="2" t="s">
        <v>249</v>
      </c>
      <c r="E39">
        <v>25014.19</v>
      </c>
      <c r="G39">
        <v>1.2E-2</v>
      </c>
      <c r="H39">
        <v>1.2010000000000001</v>
      </c>
      <c r="I39" t="s">
        <v>601</v>
      </c>
    </row>
    <row r="40" spans="1:9">
      <c r="A40" t="s">
        <v>578</v>
      </c>
      <c r="B40" t="s">
        <v>219</v>
      </c>
      <c r="C40" s="2" t="s">
        <v>249</v>
      </c>
      <c r="E40">
        <v>25584.627</v>
      </c>
      <c r="G40">
        <v>1.2E-2</v>
      </c>
      <c r="H40">
        <v>0.85699999999999998</v>
      </c>
      <c r="I40" t="s">
        <v>602</v>
      </c>
    </row>
    <row r="41" spans="1:9">
      <c r="A41" t="s">
        <v>578</v>
      </c>
      <c r="B41" t="s">
        <v>219</v>
      </c>
      <c r="C41" s="2" t="s">
        <v>251</v>
      </c>
      <c r="E41">
        <v>25724.657999999999</v>
      </c>
      <c r="G41">
        <v>0.01</v>
      </c>
      <c r="H41">
        <v>1.1379999999999999</v>
      </c>
      <c r="I41" t="s">
        <v>603</v>
      </c>
    </row>
    <row r="42" spans="1:9">
      <c r="A42" t="s">
        <v>604</v>
      </c>
      <c r="B42" t="s">
        <v>206</v>
      </c>
      <c r="C42" s="2" t="s">
        <v>248</v>
      </c>
      <c r="E42">
        <v>26936.971000000001</v>
      </c>
      <c r="G42">
        <v>7.0000000000000001E-3</v>
      </c>
      <c r="I42">
        <v>100</v>
      </c>
    </row>
    <row r="43" spans="1:9">
      <c r="A43" t="s">
        <v>605</v>
      </c>
      <c r="B43" t="s">
        <v>606</v>
      </c>
      <c r="C43" s="2" t="s">
        <v>249</v>
      </c>
      <c r="E43">
        <v>29022.864000000001</v>
      </c>
      <c r="G43">
        <v>5.0000000000000001E-3</v>
      </c>
      <c r="H43">
        <v>0.58399999999999996</v>
      </c>
      <c r="I43">
        <v>100</v>
      </c>
    </row>
    <row r="44" spans="1:9">
      <c r="A44" t="s">
        <v>605</v>
      </c>
      <c r="B44" t="s">
        <v>606</v>
      </c>
      <c r="C44" s="2" t="s">
        <v>251</v>
      </c>
      <c r="E44">
        <v>29096.178</v>
      </c>
      <c r="G44">
        <v>6.0000000000000001E-3</v>
      </c>
      <c r="H44">
        <v>0.98099999999999998</v>
      </c>
      <c r="I44">
        <v>100</v>
      </c>
    </row>
    <row r="45" spans="1:9">
      <c r="A45" t="s">
        <v>605</v>
      </c>
      <c r="B45" t="s">
        <v>606</v>
      </c>
      <c r="C45" s="2" t="s">
        <v>252</v>
      </c>
      <c r="E45">
        <v>29189.842000000001</v>
      </c>
      <c r="G45">
        <v>6.0000000000000001E-3</v>
      </c>
      <c r="H45">
        <v>1.1599999999999999</v>
      </c>
      <c r="I45">
        <v>100</v>
      </c>
    </row>
    <row r="46" spans="1:9">
      <c r="A46" t="s">
        <v>605</v>
      </c>
      <c r="B46" t="s">
        <v>606</v>
      </c>
      <c r="C46" s="2" t="s">
        <v>1702</v>
      </c>
      <c r="E46">
        <v>29303.485000000001</v>
      </c>
      <c r="G46">
        <v>1.9E-2</v>
      </c>
      <c r="I46">
        <v>100</v>
      </c>
    </row>
    <row r="47" spans="1:9">
      <c r="A47" t="s">
        <v>578</v>
      </c>
      <c r="B47" t="s">
        <v>211</v>
      </c>
      <c r="C47" s="2" t="s">
        <v>248</v>
      </c>
      <c r="E47">
        <v>30573.163</v>
      </c>
      <c r="G47">
        <v>1.4E-2</v>
      </c>
      <c r="H47">
        <v>0.68</v>
      </c>
      <c r="I47" t="s">
        <v>607</v>
      </c>
    </row>
    <row r="48" spans="1:9">
      <c r="A48" t="s">
        <v>578</v>
      </c>
      <c r="B48" t="s">
        <v>211</v>
      </c>
      <c r="C48" s="2" t="s">
        <v>250</v>
      </c>
      <c r="E48">
        <v>30706.696</v>
      </c>
      <c r="G48">
        <v>1.7000000000000001E-2</v>
      </c>
      <c r="H48">
        <v>1.3320000000000001</v>
      </c>
      <c r="I48" t="s">
        <v>608</v>
      </c>
    </row>
    <row r="49" spans="1:9">
      <c r="A49" t="s">
        <v>605</v>
      </c>
      <c r="B49" t="s">
        <v>214</v>
      </c>
      <c r="C49" s="2" t="s">
        <v>250</v>
      </c>
      <c r="E49">
        <v>31172.620999999999</v>
      </c>
      <c r="G49">
        <v>2.8000000000000001E-2</v>
      </c>
      <c r="H49">
        <v>0.4</v>
      </c>
      <c r="I49">
        <v>99</v>
      </c>
    </row>
    <row r="50" spans="1:9">
      <c r="A50" t="s">
        <v>605</v>
      </c>
      <c r="B50" t="s">
        <v>214</v>
      </c>
      <c r="C50" s="2" t="s">
        <v>249</v>
      </c>
      <c r="E50">
        <v>31215.78</v>
      </c>
      <c r="G50">
        <v>1.7000000000000001E-2</v>
      </c>
      <c r="H50">
        <v>1.0269999999999999</v>
      </c>
      <c r="I50">
        <v>99</v>
      </c>
    </row>
    <row r="51" spans="1:9">
      <c r="A51" t="s">
        <v>605</v>
      </c>
      <c r="B51" t="s">
        <v>214</v>
      </c>
      <c r="C51" s="2" t="s">
        <v>251</v>
      </c>
      <c r="E51">
        <v>31275.4</v>
      </c>
      <c r="G51">
        <v>1.6E-2</v>
      </c>
      <c r="H51">
        <v>1.24</v>
      </c>
      <c r="I51">
        <v>98</v>
      </c>
    </row>
    <row r="52" spans="1:9">
      <c r="A52" t="s">
        <v>605</v>
      </c>
      <c r="B52" t="s">
        <v>214</v>
      </c>
      <c r="C52" s="2" t="s">
        <v>252</v>
      </c>
      <c r="E52">
        <v>31350.789000000001</v>
      </c>
      <c r="G52">
        <v>1.7999999999999999E-2</v>
      </c>
      <c r="H52">
        <v>1.33</v>
      </c>
      <c r="I52">
        <v>98</v>
      </c>
    </row>
    <row r="53" spans="1:9">
      <c r="A53" t="s">
        <v>605</v>
      </c>
      <c r="B53" t="s">
        <v>216</v>
      </c>
      <c r="C53" s="2" t="s">
        <v>248</v>
      </c>
      <c r="E53">
        <v>32637.409</v>
      </c>
      <c r="G53">
        <v>0.02</v>
      </c>
      <c r="H53">
        <v>0.03</v>
      </c>
      <c r="I53">
        <v>96</v>
      </c>
    </row>
    <row r="54" spans="1:9">
      <c r="A54" t="s">
        <v>605</v>
      </c>
      <c r="B54" t="s">
        <v>216</v>
      </c>
      <c r="C54" s="2" t="s">
        <v>250</v>
      </c>
      <c r="E54">
        <v>32659.285</v>
      </c>
      <c r="G54">
        <v>1.6E-2</v>
      </c>
      <c r="I54">
        <v>96</v>
      </c>
    </row>
    <row r="55" spans="1:9">
      <c r="A55" t="s">
        <v>605</v>
      </c>
      <c r="B55" t="s">
        <v>216</v>
      </c>
      <c r="C55" s="2" t="s">
        <v>249</v>
      </c>
      <c r="E55">
        <v>32696.808000000001</v>
      </c>
      <c r="G55">
        <v>1.0999999999999999E-2</v>
      </c>
      <c r="H55">
        <v>1.373</v>
      </c>
      <c r="I55">
        <v>95</v>
      </c>
    </row>
    <row r="56" spans="1:9">
      <c r="A56" t="s">
        <v>605</v>
      </c>
      <c r="B56" t="s">
        <v>216</v>
      </c>
      <c r="C56" s="2" t="s">
        <v>251</v>
      </c>
      <c r="E56">
        <v>32751.473999999998</v>
      </c>
      <c r="G56">
        <v>1.4999999999999999E-2</v>
      </c>
      <c r="H56">
        <v>1.4139999999999999</v>
      </c>
      <c r="I56">
        <v>95</v>
      </c>
    </row>
    <row r="57" spans="1:9">
      <c r="A57" t="s">
        <v>605</v>
      </c>
      <c r="B57" t="s">
        <v>609</v>
      </c>
      <c r="C57" s="2" t="s">
        <v>251</v>
      </c>
      <c r="E57">
        <v>33055.957000000002</v>
      </c>
      <c r="G57">
        <v>8.9999999999999993E-3</v>
      </c>
      <c r="H57">
        <v>0.91</v>
      </c>
      <c r="I57" t="s">
        <v>610</v>
      </c>
    </row>
    <row r="58" spans="1:9">
      <c r="A58" t="s">
        <v>605</v>
      </c>
      <c r="B58" t="s">
        <v>609</v>
      </c>
      <c r="C58" s="2" t="s">
        <v>252</v>
      </c>
      <c r="E58">
        <v>33151.184999999998</v>
      </c>
      <c r="G58">
        <v>7.0000000000000001E-3</v>
      </c>
      <c r="H58">
        <v>1.06</v>
      </c>
      <c r="I58" t="s">
        <v>611</v>
      </c>
    </row>
    <row r="59" spans="1:9">
      <c r="A59" t="s">
        <v>605</v>
      </c>
      <c r="B59" t="s">
        <v>219</v>
      </c>
      <c r="C59" s="2" t="s">
        <v>249</v>
      </c>
      <c r="E59">
        <v>33153.779000000002</v>
      </c>
      <c r="G59">
        <v>8.0000000000000002E-3</v>
      </c>
      <c r="H59">
        <v>0.85299999999999998</v>
      </c>
      <c r="I59" t="s">
        <v>612</v>
      </c>
    </row>
    <row r="60" spans="1:9">
      <c r="A60" t="s">
        <v>605</v>
      </c>
      <c r="B60" t="s">
        <v>219</v>
      </c>
      <c r="C60" s="2" t="s">
        <v>251</v>
      </c>
      <c r="E60">
        <v>33278.370000000003</v>
      </c>
      <c r="G60">
        <v>1.6E-2</v>
      </c>
      <c r="H60">
        <v>1.1459999999999999</v>
      </c>
      <c r="I60" t="s">
        <v>613</v>
      </c>
    </row>
    <row r="61" spans="1:9">
      <c r="A61" t="s">
        <v>605</v>
      </c>
      <c r="B61" t="s">
        <v>218</v>
      </c>
      <c r="C61" s="2" t="s">
        <v>250</v>
      </c>
      <c r="E61">
        <v>33614.868999999999</v>
      </c>
      <c r="G61">
        <v>1.2E-2</v>
      </c>
      <c r="H61">
        <v>0.82399999999999995</v>
      </c>
      <c r="I61" t="s">
        <v>614</v>
      </c>
    </row>
    <row r="62" spans="1:9">
      <c r="A62" t="s">
        <v>605</v>
      </c>
      <c r="B62" t="s">
        <v>218</v>
      </c>
      <c r="C62" s="2" t="s">
        <v>249</v>
      </c>
      <c r="E62">
        <v>33707.034</v>
      </c>
      <c r="G62">
        <v>0.01</v>
      </c>
      <c r="H62">
        <v>1.1859999999999999</v>
      </c>
      <c r="I62" t="s">
        <v>615</v>
      </c>
    </row>
    <row r="63" spans="1:9">
      <c r="A63" t="s">
        <v>616</v>
      </c>
      <c r="B63" t="s">
        <v>576</v>
      </c>
      <c r="C63" s="2" t="s">
        <v>250</v>
      </c>
      <c r="E63">
        <v>33763.534</v>
      </c>
      <c r="G63">
        <v>1.7000000000000001E-2</v>
      </c>
      <c r="H63">
        <v>0.39500000000000002</v>
      </c>
      <c r="I63">
        <v>100</v>
      </c>
    </row>
    <row r="64" spans="1:9">
      <c r="A64" t="s">
        <v>616</v>
      </c>
      <c r="B64" t="s">
        <v>576</v>
      </c>
      <c r="C64" s="2" t="s">
        <v>249</v>
      </c>
      <c r="E64">
        <v>33798.633000000002</v>
      </c>
      <c r="G64">
        <v>1.7999999999999999E-2</v>
      </c>
      <c r="H64">
        <v>1.026</v>
      </c>
      <c r="I64">
        <v>100</v>
      </c>
    </row>
    <row r="65" spans="1:9">
      <c r="A65" t="s">
        <v>616</v>
      </c>
      <c r="B65" t="s">
        <v>576</v>
      </c>
      <c r="C65" s="2" t="s">
        <v>251</v>
      </c>
      <c r="E65">
        <v>33846.567999999999</v>
      </c>
      <c r="G65">
        <v>2.1999999999999999E-2</v>
      </c>
      <c r="H65">
        <v>1.23</v>
      </c>
      <c r="I65">
        <v>100</v>
      </c>
    </row>
    <row r="66" spans="1:9">
      <c r="A66" t="s">
        <v>616</v>
      </c>
      <c r="B66" t="s">
        <v>576</v>
      </c>
      <c r="C66" s="2" t="s">
        <v>252</v>
      </c>
      <c r="E66">
        <v>33906.360999999997</v>
      </c>
      <c r="G66">
        <v>1.9E-2</v>
      </c>
      <c r="H66">
        <v>1.33</v>
      </c>
      <c r="I66">
        <v>100</v>
      </c>
    </row>
    <row r="67" spans="1:9">
      <c r="A67" t="s">
        <v>617</v>
      </c>
      <c r="B67" t="s">
        <v>231</v>
      </c>
      <c r="C67" s="2" t="s">
        <v>248</v>
      </c>
      <c r="E67">
        <v>34390.252999999997</v>
      </c>
      <c r="G67">
        <v>1.2E-2</v>
      </c>
      <c r="H67">
        <v>0</v>
      </c>
      <c r="I67">
        <v>100</v>
      </c>
    </row>
    <row r="68" spans="1:9">
      <c r="A68" t="s">
        <v>617</v>
      </c>
      <c r="B68" t="s">
        <v>231</v>
      </c>
      <c r="C68" s="2" t="s">
        <v>250</v>
      </c>
      <c r="E68">
        <v>34422.828999999998</v>
      </c>
      <c r="G68">
        <v>8.9999999999999993E-3</v>
      </c>
      <c r="H68">
        <v>1.1919999999999999</v>
      </c>
      <c r="I68">
        <v>100</v>
      </c>
    </row>
    <row r="69" spans="1:9">
      <c r="A69" t="s">
        <v>617</v>
      </c>
      <c r="B69" t="s">
        <v>231</v>
      </c>
      <c r="C69" s="2" t="s">
        <v>249</v>
      </c>
      <c r="E69">
        <v>34479.99</v>
      </c>
      <c r="G69">
        <v>0.01</v>
      </c>
      <c r="H69">
        <v>1.37</v>
      </c>
      <c r="I69">
        <v>100</v>
      </c>
    </row>
    <row r="70" spans="1:9">
      <c r="A70" t="s">
        <v>617</v>
      </c>
      <c r="B70" t="s">
        <v>231</v>
      </c>
      <c r="C70" s="2" t="s">
        <v>251</v>
      </c>
      <c r="E70">
        <v>34567.18</v>
      </c>
      <c r="G70">
        <v>1.2E-2</v>
      </c>
      <c r="H70">
        <v>1.43</v>
      </c>
      <c r="I70">
        <v>100</v>
      </c>
    </row>
    <row r="71" spans="1:9">
      <c r="A71" t="s">
        <v>618</v>
      </c>
      <c r="B71" t="s">
        <v>619</v>
      </c>
      <c r="C71" s="2" t="s">
        <v>248</v>
      </c>
      <c r="E71">
        <v>35346.32</v>
      </c>
      <c r="G71">
        <v>0.03</v>
      </c>
      <c r="H71">
        <v>2</v>
      </c>
      <c r="I71">
        <v>100</v>
      </c>
    </row>
    <row r="72" spans="1:9">
      <c r="A72" t="s">
        <v>617</v>
      </c>
      <c r="B72" t="s">
        <v>209</v>
      </c>
      <c r="C72" s="2" t="s">
        <v>250</v>
      </c>
      <c r="E72">
        <v>35671.033000000003</v>
      </c>
      <c r="G72">
        <v>1.2E-2</v>
      </c>
      <c r="I72" t="s">
        <v>620</v>
      </c>
    </row>
    <row r="73" spans="1:9">
      <c r="A73" t="s">
        <v>617</v>
      </c>
      <c r="B73" t="s">
        <v>209</v>
      </c>
      <c r="C73" s="2" t="s">
        <v>249</v>
      </c>
      <c r="E73">
        <v>35745.635000000002</v>
      </c>
      <c r="G73">
        <v>0.01</v>
      </c>
      <c r="H73">
        <v>1.212</v>
      </c>
      <c r="I73" t="s">
        <v>621</v>
      </c>
    </row>
    <row r="74" spans="1:9">
      <c r="A74" t="s">
        <v>616</v>
      </c>
      <c r="B74" t="s">
        <v>622</v>
      </c>
      <c r="C74" s="2" t="s">
        <v>250</v>
      </c>
      <c r="E74">
        <v>36276.607000000004</v>
      </c>
      <c r="G74">
        <v>1.7000000000000001E-2</v>
      </c>
      <c r="I74" t="s">
        <v>623</v>
      </c>
    </row>
    <row r="75" spans="1:9">
      <c r="A75" t="s">
        <v>616</v>
      </c>
      <c r="B75" t="s">
        <v>622</v>
      </c>
      <c r="C75" s="2" t="s">
        <v>249</v>
      </c>
      <c r="E75">
        <v>36330.536999999997</v>
      </c>
      <c r="G75">
        <v>1.0999999999999999E-2</v>
      </c>
      <c r="H75">
        <v>1.196</v>
      </c>
      <c r="I75" t="s">
        <v>624</v>
      </c>
    </row>
    <row r="76" spans="1:9">
      <c r="A76" t="s">
        <v>616</v>
      </c>
      <c r="B76" t="s">
        <v>586</v>
      </c>
      <c r="C76" s="2" t="s">
        <v>248</v>
      </c>
      <c r="E76">
        <v>36492.627999999997</v>
      </c>
      <c r="G76">
        <v>2.8000000000000001E-2</v>
      </c>
      <c r="H76">
        <v>2.6339999999999999</v>
      </c>
      <c r="I76">
        <v>98</v>
      </c>
    </row>
    <row r="77" spans="1:9">
      <c r="A77" t="s">
        <v>616</v>
      </c>
      <c r="B77" t="s">
        <v>586</v>
      </c>
      <c r="C77" s="2" t="s">
        <v>250</v>
      </c>
      <c r="E77">
        <v>36515.732000000004</v>
      </c>
      <c r="G77">
        <v>1.7999999999999999E-2</v>
      </c>
      <c r="H77">
        <v>1.712</v>
      </c>
      <c r="I77">
        <v>95</v>
      </c>
    </row>
    <row r="78" spans="1:9">
      <c r="A78" t="s">
        <v>616</v>
      </c>
      <c r="B78" t="s">
        <v>586</v>
      </c>
      <c r="C78" s="2" t="s">
        <v>249</v>
      </c>
      <c r="E78">
        <v>36572.741000000002</v>
      </c>
      <c r="G78">
        <v>2.1999999999999999E-2</v>
      </c>
      <c r="H78">
        <v>1.59</v>
      </c>
      <c r="I78">
        <v>96</v>
      </c>
    </row>
    <row r="79" spans="1:9">
      <c r="A79" t="s">
        <v>625</v>
      </c>
      <c r="B79" t="s">
        <v>219</v>
      </c>
      <c r="C79" s="2" t="s">
        <v>249</v>
      </c>
      <c r="E79">
        <v>36666.415999999997</v>
      </c>
      <c r="G79">
        <v>2.1999999999999999E-2</v>
      </c>
      <c r="I79" t="s">
        <v>626</v>
      </c>
    </row>
    <row r="80" spans="1:9">
      <c r="A80" t="s">
        <v>625</v>
      </c>
      <c r="B80" t="s">
        <v>219</v>
      </c>
      <c r="C80" s="2" t="s">
        <v>251</v>
      </c>
      <c r="E80">
        <v>36730.11</v>
      </c>
      <c r="G80">
        <v>0.02</v>
      </c>
      <c r="I80" t="s">
        <v>627</v>
      </c>
    </row>
    <row r="81" spans="1:9">
      <c r="A81" t="s">
        <v>618</v>
      </c>
      <c r="B81" t="s">
        <v>216</v>
      </c>
      <c r="C81" s="2" t="s">
        <v>248</v>
      </c>
      <c r="E81">
        <v>36764.195</v>
      </c>
      <c r="G81">
        <v>2.3E-2</v>
      </c>
      <c r="H81">
        <v>1.6E-2</v>
      </c>
      <c r="I81">
        <v>98</v>
      </c>
    </row>
    <row r="82" spans="1:9">
      <c r="A82" t="s">
        <v>618</v>
      </c>
      <c r="B82" t="s">
        <v>216</v>
      </c>
      <c r="C82" s="2" t="s">
        <v>250</v>
      </c>
      <c r="E82">
        <v>36793.644999999997</v>
      </c>
      <c r="G82">
        <v>1.9E-2</v>
      </c>
      <c r="H82">
        <v>1.1839999999999999</v>
      </c>
      <c r="I82">
        <v>94</v>
      </c>
    </row>
    <row r="83" spans="1:9">
      <c r="A83" t="s">
        <v>618</v>
      </c>
      <c r="B83" t="s">
        <v>216</v>
      </c>
      <c r="C83" s="2" t="s">
        <v>249</v>
      </c>
      <c r="E83">
        <v>36860.209000000003</v>
      </c>
      <c r="G83">
        <v>0.02</v>
      </c>
      <c r="H83">
        <v>1.3480000000000001</v>
      </c>
      <c r="I83">
        <v>94</v>
      </c>
    </row>
    <row r="84" spans="1:9">
      <c r="A84" t="s">
        <v>618</v>
      </c>
      <c r="B84" t="s">
        <v>216</v>
      </c>
      <c r="C84" s="2" t="s">
        <v>251</v>
      </c>
      <c r="E84">
        <v>36959.027000000002</v>
      </c>
      <c r="G84">
        <v>2.5999999999999999E-2</v>
      </c>
      <c r="I84" t="s">
        <v>628</v>
      </c>
    </row>
    <row r="85" spans="1:9">
      <c r="A85" t="s">
        <v>625</v>
      </c>
      <c r="B85" t="s">
        <v>218</v>
      </c>
      <c r="C85" s="2" t="s">
        <v>250</v>
      </c>
      <c r="E85">
        <v>36933.898999999998</v>
      </c>
      <c r="G85">
        <v>1.4E-2</v>
      </c>
      <c r="H85">
        <v>0.879</v>
      </c>
      <c r="I85" t="s">
        <v>629</v>
      </c>
    </row>
    <row r="86" spans="1:9">
      <c r="A86" t="s">
        <v>625</v>
      </c>
      <c r="B86" t="s">
        <v>218</v>
      </c>
      <c r="C86" s="2" t="s">
        <v>249</v>
      </c>
      <c r="E86">
        <v>37039.559000000001</v>
      </c>
      <c r="G86">
        <v>1.6E-2</v>
      </c>
      <c r="H86">
        <v>1.2070000000000001</v>
      </c>
      <c r="I86" t="s">
        <v>630</v>
      </c>
    </row>
    <row r="87" spans="1:9">
      <c r="A87" t="s">
        <v>616</v>
      </c>
      <c r="B87" t="s">
        <v>594</v>
      </c>
      <c r="C87" s="2" t="s">
        <v>251</v>
      </c>
      <c r="E87">
        <v>36977.491000000002</v>
      </c>
      <c r="G87">
        <v>1.7999999999999999E-2</v>
      </c>
      <c r="H87">
        <v>0.89</v>
      </c>
      <c r="I87">
        <v>100</v>
      </c>
    </row>
    <row r="88" spans="1:9">
      <c r="A88" t="s">
        <v>616</v>
      </c>
      <c r="B88" t="s">
        <v>594</v>
      </c>
      <c r="C88" s="2" t="s">
        <v>252</v>
      </c>
      <c r="E88">
        <v>37054.478999999999</v>
      </c>
      <c r="G88">
        <v>1.7999999999999999E-2</v>
      </c>
      <c r="H88">
        <v>1.1100000000000001</v>
      </c>
      <c r="I88">
        <v>99</v>
      </c>
    </row>
    <row r="89" spans="1:9">
      <c r="A89" t="s">
        <v>616</v>
      </c>
      <c r="B89" t="s">
        <v>595</v>
      </c>
      <c r="C89" s="2" t="s">
        <v>248</v>
      </c>
      <c r="E89">
        <v>37085.800000000003</v>
      </c>
      <c r="G89">
        <v>2.1000000000000001E-2</v>
      </c>
      <c r="H89">
        <v>0.68200000000000005</v>
      </c>
      <c r="I89">
        <v>96</v>
      </c>
    </row>
    <row r="90" spans="1:9">
      <c r="A90" t="s">
        <v>616</v>
      </c>
      <c r="B90" t="s">
        <v>595</v>
      </c>
      <c r="C90" s="2" t="s">
        <v>250</v>
      </c>
      <c r="E90">
        <v>37148.196000000004</v>
      </c>
      <c r="G90">
        <v>1.7000000000000001E-2</v>
      </c>
      <c r="H90">
        <v>1.3280000000000001</v>
      </c>
      <c r="I90">
        <v>93</v>
      </c>
    </row>
    <row r="91" spans="1:9">
      <c r="A91" t="s">
        <v>625</v>
      </c>
      <c r="B91" t="s">
        <v>211</v>
      </c>
      <c r="C91" s="2" t="s">
        <v>250</v>
      </c>
      <c r="E91">
        <v>37086.019999999997</v>
      </c>
      <c r="G91">
        <v>1.4E-2</v>
      </c>
      <c r="H91">
        <v>1.278</v>
      </c>
      <c r="I91" t="s">
        <v>631</v>
      </c>
    </row>
    <row r="92" spans="1:9">
      <c r="A92" t="s">
        <v>625</v>
      </c>
      <c r="B92" t="s">
        <v>211</v>
      </c>
      <c r="C92" s="2" t="s">
        <v>248</v>
      </c>
      <c r="E92">
        <v>37125.419000000002</v>
      </c>
      <c r="G92">
        <v>1.7999999999999999E-2</v>
      </c>
      <c r="I92" t="s">
        <v>632</v>
      </c>
    </row>
    <row r="93" spans="1:9">
      <c r="A93" t="s">
        <v>618</v>
      </c>
      <c r="B93" t="s">
        <v>633</v>
      </c>
      <c r="C93" s="2" t="s">
        <v>250</v>
      </c>
      <c r="E93">
        <v>37486.928999999996</v>
      </c>
      <c r="G93">
        <v>2.1000000000000001E-2</v>
      </c>
      <c r="H93">
        <v>1.986</v>
      </c>
      <c r="I93" t="s">
        <v>634</v>
      </c>
    </row>
    <row r="94" spans="1:9">
      <c r="A94" t="s">
        <v>635</v>
      </c>
      <c r="B94" t="s">
        <v>209</v>
      </c>
      <c r="C94" s="2" t="s">
        <v>250</v>
      </c>
      <c r="E94">
        <v>37780.858</v>
      </c>
      <c r="G94">
        <v>1.2E-2</v>
      </c>
      <c r="H94">
        <v>0.8</v>
      </c>
      <c r="I94" t="s">
        <v>636</v>
      </c>
    </row>
    <row r="95" spans="1:9">
      <c r="A95" t="s">
        <v>635</v>
      </c>
      <c r="B95" t="s">
        <v>209</v>
      </c>
      <c r="C95" s="2" t="s">
        <v>249</v>
      </c>
      <c r="E95">
        <v>37855.603000000003</v>
      </c>
      <c r="G95">
        <v>1.2999999999999999E-2</v>
      </c>
      <c r="H95">
        <v>1.18</v>
      </c>
      <c r="I95" t="s">
        <v>637</v>
      </c>
    </row>
    <row r="96" spans="1:9">
      <c r="A96" t="s">
        <v>618</v>
      </c>
      <c r="B96" t="s">
        <v>213</v>
      </c>
      <c r="C96" s="2" t="s">
        <v>248</v>
      </c>
      <c r="E96">
        <v>37877.775999999998</v>
      </c>
      <c r="G96">
        <v>2.3E-2</v>
      </c>
      <c r="H96">
        <v>2.6619999999999999</v>
      </c>
      <c r="I96" t="s">
        <v>638</v>
      </c>
    </row>
    <row r="97" spans="1:9">
      <c r="A97" t="s">
        <v>618</v>
      </c>
      <c r="B97" t="s">
        <v>213</v>
      </c>
      <c r="C97" s="2" t="s">
        <v>250</v>
      </c>
      <c r="E97">
        <v>37908.483999999997</v>
      </c>
      <c r="G97">
        <v>1.4E-2</v>
      </c>
      <c r="H97">
        <v>1.7310000000000001</v>
      </c>
      <c r="I97" t="s">
        <v>639</v>
      </c>
    </row>
    <row r="98" spans="1:9">
      <c r="A98" t="s">
        <v>618</v>
      </c>
      <c r="B98" t="s">
        <v>213</v>
      </c>
      <c r="C98" s="2" t="s">
        <v>249</v>
      </c>
      <c r="E98">
        <v>37964.868000000002</v>
      </c>
      <c r="G98">
        <v>1.2E-2</v>
      </c>
      <c r="H98">
        <v>1.58</v>
      </c>
      <c r="I98" t="s">
        <v>638</v>
      </c>
    </row>
    <row r="99" spans="1:9">
      <c r="A99" t="s">
        <v>640</v>
      </c>
      <c r="B99" t="s">
        <v>577</v>
      </c>
      <c r="C99" s="2" t="s">
        <v>249</v>
      </c>
      <c r="E99">
        <v>38871.627999999997</v>
      </c>
      <c r="G99">
        <v>1.9E-2</v>
      </c>
      <c r="H99">
        <v>0.85499999999999998</v>
      </c>
      <c r="I99" t="s">
        <v>641</v>
      </c>
    </row>
    <row r="100" spans="1:9">
      <c r="A100" t="s">
        <v>640</v>
      </c>
      <c r="B100" t="s">
        <v>577</v>
      </c>
      <c r="C100" s="2" t="s">
        <v>251</v>
      </c>
      <c r="E100">
        <v>38959.131000000001</v>
      </c>
      <c r="G100">
        <v>1.6E-2</v>
      </c>
      <c r="H100">
        <v>1.1399999999999999</v>
      </c>
      <c r="I100" t="s">
        <v>642</v>
      </c>
    </row>
    <row r="101" spans="1:9">
      <c r="A101" t="s">
        <v>643</v>
      </c>
      <c r="B101" t="s">
        <v>644</v>
      </c>
      <c r="C101" s="2" t="s">
        <v>252</v>
      </c>
      <c r="E101">
        <v>39153.14</v>
      </c>
      <c r="G101">
        <v>0.03</v>
      </c>
      <c r="I101">
        <v>98</v>
      </c>
    </row>
    <row r="102" spans="1:9">
      <c r="A102" t="s">
        <v>643</v>
      </c>
      <c r="B102" t="s">
        <v>644</v>
      </c>
      <c r="C102" s="2" t="s">
        <v>1702</v>
      </c>
      <c r="E102">
        <v>39248.910000000003</v>
      </c>
      <c r="G102">
        <v>0.05</v>
      </c>
      <c r="I102">
        <v>100</v>
      </c>
    </row>
    <row r="103" spans="1:9">
      <c r="A103" t="s">
        <v>616</v>
      </c>
      <c r="B103" t="s">
        <v>645</v>
      </c>
      <c r="C103" s="2" t="s">
        <v>252</v>
      </c>
      <c r="E103">
        <v>39164.091999999997</v>
      </c>
      <c r="G103">
        <v>1.7999999999999999E-2</v>
      </c>
      <c r="I103">
        <v>100</v>
      </c>
    </row>
    <row r="104" spans="1:9">
      <c r="A104" t="s">
        <v>616</v>
      </c>
      <c r="B104" t="s">
        <v>645</v>
      </c>
      <c r="C104" s="2" t="s">
        <v>1702</v>
      </c>
      <c r="E104">
        <v>39225.31</v>
      </c>
      <c r="G104">
        <v>0.03</v>
      </c>
      <c r="I104">
        <v>100</v>
      </c>
    </row>
    <row r="105" spans="1:9">
      <c r="A105" t="s">
        <v>643</v>
      </c>
      <c r="B105" t="s">
        <v>609</v>
      </c>
      <c r="C105" s="2" t="s">
        <v>251</v>
      </c>
      <c r="E105">
        <v>39392.800000000003</v>
      </c>
      <c r="G105">
        <v>0.04</v>
      </c>
      <c r="H105">
        <v>0.89</v>
      </c>
      <c r="I105" t="s">
        <v>646</v>
      </c>
    </row>
    <row r="106" spans="1:9">
      <c r="A106" t="s">
        <v>643</v>
      </c>
      <c r="B106" t="s">
        <v>609</v>
      </c>
      <c r="C106" s="2" t="s">
        <v>252</v>
      </c>
      <c r="E106">
        <v>39423.360000000001</v>
      </c>
      <c r="G106">
        <v>0.05</v>
      </c>
      <c r="I106" t="s">
        <v>647</v>
      </c>
    </row>
    <row r="107" spans="1:9">
      <c r="A107" t="s">
        <v>640</v>
      </c>
      <c r="B107" t="s">
        <v>231</v>
      </c>
      <c r="C107" s="2" t="s">
        <v>248</v>
      </c>
      <c r="E107">
        <v>39701.428</v>
      </c>
      <c r="G107">
        <v>2.3E-2</v>
      </c>
      <c r="H107">
        <v>8.0000000000000002E-3</v>
      </c>
      <c r="I107">
        <v>96</v>
      </c>
    </row>
    <row r="108" spans="1:9">
      <c r="A108" t="s">
        <v>640</v>
      </c>
      <c r="B108" t="s">
        <v>231</v>
      </c>
      <c r="C108" s="2" t="s">
        <v>250</v>
      </c>
      <c r="E108">
        <v>39721.754999999997</v>
      </c>
      <c r="G108">
        <v>1.6E-2</v>
      </c>
      <c r="H108">
        <v>1.2030000000000001</v>
      </c>
      <c r="I108">
        <v>97</v>
      </c>
    </row>
    <row r="109" spans="1:9">
      <c r="A109" t="s">
        <v>640</v>
      </c>
      <c r="B109" t="s">
        <v>231</v>
      </c>
      <c r="C109" s="2" t="s">
        <v>249</v>
      </c>
      <c r="E109">
        <v>39754.983</v>
      </c>
      <c r="G109">
        <v>1.7999999999999999E-2</v>
      </c>
      <c r="H109">
        <v>1.3640000000000001</v>
      </c>
      <c r="I109" t="s">
        <v>648</v>
      </c>
    </row>
    <row r="110" spans="1:9">
      <c r="A110" t="s">
        <v>640</v>
      </c>
      <c r="B110" t="s">
        <v>231</v>
      </c>
      <c r="C110" s="2" t="s">
        <v>251</v>
      </c>
      <c r="E110">
        <v>39799.959000000003</v>
      </c>
      <c r="G110">
        <v>2.1999999999999999E-2</v>
      </c>
      <c r="H110">
        <v>1.4390000000000001</v>
      </c>
      <c r="I110" t="s">
        <v>649</v>
      </c>
    </row>
    <row r="111" spans="1:9">
      <c r="A111" t="s">
        <v>640</v>
      </c>
      <c r="C111" s="2" t="s">
        <v>249</v>
      </c>
      <c r="E111">
        <v>39861.347999999998</v>
      </c>
      <c r="G111">
        <v>2.3E-2</v>
      </c>
      <c r="H111">
        <v>0.55500000000000005</v>
      </c>
      <c r="I111" t="s">
        <v>650</v>
      </c>
    </row>
    <row r="112" spans="1:9">
      <c r="A112" t="s">
        <v>640</v>
      </c>
      <c r="B112" t="s">
        <v>651</v>
      </c>
      <c r="C112" s="2" t="s">
        <v>251</v>
      </c>
      <c r="E112">
        <v>39902.697999999997</v>
      </c>
      <c r="G112">
        <v>2.8000000000000001E-2</v>
      </c>
      <c r="H112">
        <v>0.96799999999999997</v>
      </c>
      <c r="I112" t="s">
        <v>652</v>
      </c>
    </row>
    <row r="113" spans="1:9">
      <c r="A113" t="s">
        <v>640</v>
      </c>
      <c r="B113" t="s">
        <v>651</v>
      </c>
      <c r="C113" s="2" t="s">
        <v>252</v>
      </c>
      <c r="E113">
        <v>39957.75</v>
      </c>
      <c r="G113">
        <v>0.03</v>
      </c>
      <c r="H113">
        <v>1.17</v>
      </c>
      <c r="I113">
        <v>98</v>
      </c>
    </row>
    <row r="114" spans="1:9">
      <c r="A114" t="s">
        <v>640</v>
      </c>
      <c r="B114" t="s">
        <v>651</v>
      </c>
      <c r="C114" s="2" t="s">
        <v>1702</v>
      </c>
      <c r="E114">
        <v>40028.31</v>
      </c>
      <c r="G114">
        <v>0.05</v>
      </c>
      <c r="H114">
        <v>1.26</v>
      </c>
      <c r="I114">
        <v>99</v>
      </c>
    </row>
    <row r="115" spans="1:9">
      <c r="A115" t="s">
        <v>653</v>
      </c>
      <c r="B115" t="s">
        <v>214</v>
      </c>
      <c r="C115" s="2" t="s">
        <v>250</v>
      </c>
      <c r="E115">
        <v>39949.756999999998</v>
      </c>
      <c r="G115">
        <v>1.9E-2</v>
      </c>
      <c r="I115">
        <v>96</v>
      </c>
    </row>
    <row r="116" spans="1:9">
      <c r="A116" t="s">
        <v>653</v>
      </c>
      <c r="B116" t="s">
        <v>214</v>
      </c>
      <c r="C116" s="2" t="s">
        <v>249</v>
      </c>
      <c r="E116">
        <v>39989.574999999997</v>
      </c>
      <c r="G116">
        <v>1.9E-2</v>
      </c>
      <c r="I116" t="s">
        <v>654</v>
      </c>
    </row>
    <row r="117" spans="1:9">
      <c r="A117" t="s">
        <v>653</v>
      </c>
      <c r="B117" t="s">
        <v>214</v>
      </c>
      <c r="C117" s="2" t="s">
        <v>251</v>
      </c>
      <c r="E117">
        <v>40048.735999999997</v>
      </c>
      <c r="G117">
        <v>1.7999999999999999E-2</v>
      </c>
      <c r="I117" t="s">
        <v>655</v>
      </c>
    </row>
    <row r="118" spans="1:9">
      <c r="A118" t="s">
        <v>653</v>
      </c>
      <c r="B118" t="s">
        <v>214</v>
      </c>
      <c r="C118" s="2" t="s">
        <v>252</v>
      </c>
      <c r="E118">
        <v>40145.868999999999</v>
      </c>
      <c r="G118">
        <v>2.4E-2</v>
      </c>
      <c r="I118">
        <v>100</v>
      </c>
    </row>
    <row r="119" spans="1:9">
      <c r="A119" t="s">
        <v>653</v>
      </c>
      <c r="B119" t="s">
        <v>216</v>
      </c>
      <c r="C119" s="2" t="s">
        <v>248</v>
      </c>
      <c r="E119">
        <v>40044.618999999999</v>
      </c>
      <c r="G119">
        <v>1.9E-2</v>
      </c>
      <c r="I119">
        <v>97</v>
      </c>
    </row>
    <row r="120" spans="1:9">
      <c r="A120" t="s">
        <v>653</v>
      </c>
      <c r="B120" t="s">
        <v>216</v>
      </c>
      <c r="C120" s="2" t="s">
        <v>250</v>
      </c>
      <c r="E120">
        <v>40073.491999999998</v>
      </c>
      <c r="G120">
        <v>1.4999999999999999E-2</v>
      </c>
      <c r="I120">
        <v>95</v>
      </c>
    </row>
    <row r="121" spans="1:9">
      <c r="A121" t="s">
        <v>653</v>
      </c>
      <c r="B121" t="s">
        <v>216</v>
      </c>
      <c r="C121" s="2" t="s">
        <v>249</v>
      </c>
      <c r="E121">
        <v>40128.135999999999</v>
      </c>
      <c r="G121">
        <v>0.02</v>
      </c>
      <c r="I121" t="s">
        <v>656</v>
      </c>
    </row>
    <row r="122" spans="1:9">
      <c r="A122" t="s">
        <v>653</v>
      </c>
      <c r="B122" t="s">
        <v>216</v>
      </c>
      <c r="C122" s="2" t="s">
        <v>251</v>
      </c>
      <c r="E122">
        <v>40210.868000000002</v>
      </c>
      <c r="G122">
        <v>2.1000000000000001E-2</v>
      </c>
      <c r="I122" t="s">
        <v>657</v>
      </c>
    </row>
    <row r="123" spans="1:9">
      <c r="A123" t="s">
        <v>640</v>
      </c>
      <c r="B123" t="s">
        <v>595</v>
      </c>
      <c r="C123" s="2" t="s">
        <v>250</v>
      </c>
      <c r="E123">
        <v>40063.875</v>
      </c>
      <c r="G123">
        <v>2.4E-2</v>
      </c>
      <c r="H123">
        <v>1.2949999999999999</v>
      </c>
      <c r="I123" t="s">
        <v>658</v>
      </c>
    </row>
    <row r="124" spans="1:9">
      <c r="A124" t="s">
        <v>640</v>
      </c>
      <c r="B124" t="s">
        <v>595</v>
      </c>
      <c r="C124" s="2" t="s">
        <v>248</v>
      </c>
      <c r="E124">
        <v>40070.288</v>
      </c>
      <c r="G124">
        <v>2.1000000000000001E-2</v>
      </c>
      <c r="H124">
        <v>0.66</v>
      </c>
      <c r="I124">
        <v>94</v>
      </c>
    </row>
    <row r="125" spans="1:9">
      <c r="A125" t="s">
        <v>653</v>
      </c>
      <c r="B125" t="s">
        <v>219</v>
      </c>
      <c r="C125" s="2" t="s">
        <v>249</v>
      </c>
      <c r="E125">
        <v>40104.142999999996</v>
      </c>
      <c r="G125">
        <v>1.7000000000000001E-2</v>
      </c>
      <c r="I125" t="s">
        <v>659</v>
      </c>
    </row>
    <row r="126" spans="1:9">
      <c r="A126" t="s">
        <v>653</v>
      </c>
      <c r="B126" t="s">
        <v>219</v>
      </c>
      <c r="C126" s="2" t="s">
        <v>251</v>
      </c>
      <c r="E126">
        <v>40151.072</v>
      </c>
      <c r="G126">
        <v>1.4E-2</v>
      </c>
      <c r="I126" t="s">
        <v>660</v>
      </c>
    </row>
    <row r="127" spans="1:9">
      <c r="B127" t="s">
        <v>291</v>
      </c>
      <c r="C127" s="2" t="s">
        <v>661</v>
      </c>
      <c r="E127">
        <v>40182.932000000001</v>
      </c>
      <c r="G127">
        <v>2.1999999999999999E-2</v>
      </c>
      <c r="I127" t="s">
        <v>662</v>
      </c>
    </row>
    <row r="128" spans="1:9">
      <c r="A128" t="s">
        <v>640</v>
      </c>
      <c r="B128" t="s">
        <v>209</v>
      </c>
      <c r="C128" s="2" t="s">
        <v>250</v>
      </c>
      <c r="E128">
        <v>40257.516000000003</v>
      </c>
      <c r="G128">
        <v>2.1000000000000001E-2</v>
      </c>
      <c r="H128">
        <v>1.3049999999999999</v>
      </c>
      <c r="I128" t="s">
        <v>663</v>
      </c>
    </row>
    <row r="129" spans="1:9">
      <c r="A129" t="s">
        <v>640</v>
      </c>
      <c r="B129" t="s">
        <v>209</v>
      </c>
      <c r="C129" s="2" t="s">
        <v>249</v>
      </c>
      <c r="E129">
        <v>40334.288</v>
      </c>
      <c r="G129">
        <v>2.8000000000000001E-2</v>
      </c>
      <c r="H129">
        <v>1.196</v>
      </c>
      <c r="I129" t="s">
        <v>664</v>
      </c>
    </row>
    <row r="130" spans="1:9">
      <c r="A130" t="s">
        <v>640</v>
      </c>
      <c r="B130" t="s">
        <v>665</v>
      </c>
      <c r="C130" s="2" t="s">
        <v>250</v>
      </c>
      <c r="E130">
        <v>40282.159</v>
      </c>
      <c r="G130">
        <v>2.1000000000000001E-2</v>
      </c>
      <c r="H130">
        <v>1.5349999999999999</v>
      </c>
      <c r="I130" t="s">
        <v>666</v>
      </c>
    </row>
    <row r="131" spans="1:9">
      <c r="A131" t="s">
        <v>653</v>
      </c>
      <c r="B131" t="s">
        <v>218</v>
      </c>
      <c r="C131" s="2" t="s">
        <v>250</v>
      </c>
      <c r="E131">
        <v>40347.322999999997</v>
      </c>
      <c r="G131">
        <v>1.7999999999999999E-2</v>
      </c>
      <c r="I131" t="s">
        <v>667</v>
      </c>
    </row>
    <row r="132" spans="1:9">
      <c r="A132" t="s">
        <v>653</v>
      </c>
      <c r="B132" t="s">
        <v>218</v>
      </c>
      <c r="C132" s="2" t="s">
        <v>249</v>
      </c>
      <c r="E132">
        <v>40351.307999999997</v>
      </c>
      <c r="G132">
        <v>2.5000000000000001E-2</v>
      </c>
      <c r="I132" t="s">
        <v>668</v>
      </c>
    </row>
    <row r="133" spans="1:9">
      <c r="A133" t="s">
        <v>640</v>
      </c>
      <c r="B133" t="s">
        <v>594</v>
      </c>
      <c r="C133" s="2" t="s">
        <v>251</v>
      </c>
      <c r="E133">
        <v>40418.538</v>
      </c>
      <c r="G133">
        <v>1.4999999999999999E-2</v>
      </c>
      <c r="I133" t="s">
        <v>669</v>
      </c>
    </row>
    <row r="134" spans="1:9">
      <c r="A134" t="s">
        <v>640</v>
      </c>
      <c r="B134" t="s">
        <v>594</v>
      </c>
      <c r="C134" s="2" t="s">
        <v>252</v>
      </c>
      <c r="E134">
        <v>40562.044000000002</v>
      </c>
      <c r="G134">
        <v>1.6E-2</v>
      </c>
      <c r="I134" t="s">
        <v>669</v>
      </c>
    </row>
    <row r="135" spans="1:9">
      <c r="A135" t="s">
        <v>653</v>
      </c>
      <c r="B135" t="s">
        <v>211</v>
      </c>
      <c r="C135" s="2" t="s">
        <v>248</v>
      </c>
      <c r="E135">
        <v>40499.697999999997</v>
      </c>
      <c r="G135">
        <v>2.8000000000000001E-2</v>
      </c>
      <c r="I135" t="s">
        <v>670</v>
      </c>
    </row>
    <row r="136" spans="1:9">
      <c r="A136" t="s">
        <v>653</v>
      </c>
      <c r="B136" t="s">
        <v>211</v>
      </c>
      <c r="C136" s="2" t="s">
        <v>250</v>
      </c>
      <c r="E136">
        <v>40594.017999999996</v>
      </c>
      <c r="G136">
        <v>1.6E-2</v>
      </c>
      <c r="I136" t="s">
        <v>671</v>
      </c>
    </row>
    <row r="137" spans="1:9">
      <c r="A137" t="s">
        <v>640</v>
      </c>
      <c r="B137" t="s">
        <v>576</v>
      </c>
      <c r="C137" s="2" t="s">
        <v>250</v>
      </c>
      <c r="E137">
        <v>40521.260999999999</v>
      </c>
      <c r="G137">
        <v>1.7000000000000001E-2</v>
      </c>
      <c r="H137">
        <v>0.40100000000000002</v>
      </c>
      <c r="I137">
        <v>99</v>
      </c>
    </row>
    <row r="138" spans="1:9">
      <c r="A138" t="s">
        <v>640</v>
      </c>
      <c r="B138" t="s">
        <v>576</v>
      </c>
      <c r="C138" s="2" t="s">
        <v>249</v>
      </c>
      <c r="E138">
        <v>40554.959999999999</v>
      </c>
      <c r="G138">
        <v>1.4999999999999999E-2</v>
      </c>
      <c r="H138">
        <v>1.0349999999999999</v>
      </c>
      <c r="I138">
        <v>99</v>
      </c>
    </row>
    <row r="139" spans="1:9">
      <c r="A139" t="s">
        <v>640</v>
      </c>
      <c r="B139" t="s">
        <v>576</v>
      </c>
      <c r="C139" s="2" t="s">
        <v>251</v>
      </c>
      <c r="E139">
        <v>40603.932999999997</v>
      </c>
      <c r="G139">
        <v>1.6E-2</v>
      </c>
      <c r="H139">
        <v>1.2350000000000001</v>
      </c>
      <c r="I139">
        <v>99</v>
      </c>
    </row>
    <row r="140" spans="1:9">
      <c r="A140" t="s">
        <v>640</v>
      </c>
      <c r="B140" t="s">
        <v>576</v>
      </c>
      <c r="C140" s="2" t="s">
        <v>252</v>
      </c>
      <c r="E140">
        <v>40670.822</v>
      </c>
      <c r="G140">
        <v>2.1000000000000001E-2</v>
      </c>
      <c r="H140">
        <v>1.3360000000000001</v>
      </c>
      <c r="I140">
        <v>100</v>
      </c>
    </row>
    <row r="141" spans="1:9">
      <c r="A141" t="s">
        <v>653</v>
      </c>
      <c r="B141" t="s">
        <v>213</v>
      </c>
      <c r="C141" s="2" t="s">
        <v>248</v>
      </c>
      <c r="E141">
        <v>40595.283000000003</v>
      </c>
      <c r="G141">
        <v>1.7000000000000001E-2</v>
      </c>
      <c r="H141">
        <v>2.57</v>
      </c>
      <c r="I141" t="s">
        <v>672</v>
      </c>
    </row>
    <row r="142" spans="1:9">
      <c r="A142" t="s">
        <v>653</v>
      </c>
      <c r="B142" t="s">
        <v>213</v>
      </c>
      <c r="C142" s="2" t="s">
        <v>250</v>
      </c>
      <c r="E142">
        <v>40644.644</v>
      </c>
      <c r="G142">
        <v>1.6E-2</v>
      </c>
      <c r="H142">
        <v>1.6870000000000001</v>
      </c>
      <c r="I142" t="s">
        <v>673</v>
      </c>
    </row>
    <row r="143" spans="1:9">
      <c r="A143" t="s">
        <v>653</v>
      </c>
      <c r="B143" t="s">
        <v>213</v>
      </c>
      <c r="C143" s="2" t="s">
        <v>249</v>
      </c>
      <c r="E143">
        <v>40715.415999999997</v>
      </c>
      <c r="G143">
        <v>1.4E-2</v>
      </c>
      <c r="H143">
        <v>1.58</v>
      </c>
      <c r="I143" t="s">
        <v>672</v>
      </c>
    </row>
    <row r="144" spans="1:9">
      <c r="A144" t="s">
        <v>616</v>
      </c>
      <c r="B144" t="s">
        <v>577</v>
      </c>
      <c r="C144" s="2" t="s">
        <v>249</v>
      </c>
      <c r="E144">
        <v>40802.737999999998</v>
      </c>
      <c r="G144">
        <v>1.7000000000000001E-2</v>
      </c>
      <c r="H144">
        <v>0.84299999999999997</v>
      </c>
      <c r="I144" t="s">
        <v>674</v>
      </c>
    </row>
    <row r="145" spans="1:9">
      <c r="A145" t="s">
        <v>616</v>
      </c>
      <c r="B145" t="s">
        <v>577</v>
      </c>
      <c r="C145" s="2" t="s">
        <v>251</v>
      </c>
      <c r="E145">
        <v>40825.754999999997</v>
      </c>
      <c r="G145">
        <v>1.6E-2</v>
      </c>
      <c r="H145">
        <v>1.1399999999999999</v>
      </c>
      <c r="I145" t="s">
        <v>675</v>
      </c>
    </row>
    <row r="146" spans="1:9">
      <c r="A146" t="s">
        <v>618</v>
      </c>
      <c r="B146" t="s">
        <v>218</v>
      </c>
      <c r="C146" s="2" t="s">
        <v>250</v>
      </c>
      <c r="E146">
        <v>41153.413999999997</v>
      </c>
      <c r="G146">
        <v>1.7000000000000001E-2</v>
      </c>
      <c r="I146" t="s">
        <v>676</v>
      </c>
    </row>
    <row r="147" spans="1:9">
      <c r="A147" t="s">
        <v>618</v>
      </c>
      <c r="B147" t="s">
        <v>218</v>
      </c>
      <c r="C147" s="2" t="s">
        <v>249</v>
      </c>
      <c r="E147">
        <v>41162.506000000001</v>
      </c>
      <c r="G147">
        <v>1.6E-2</v>
      </c>
      <c r="I147" t="s">
        <v>677</v>
      </c>
    </row>
    <row r="148" spans="1:9">
      <c r="A148" t="s">
        <v>640</v>
      </c>
      <c r="B148" t="s">
        <v>586</v>
      </c>
      <c r="C148" s="2" t="s">
        <v>248</v>
      </c>
      <c r="E148">
        <v>41446.839</v>
      </c>
      <c r="G148">
        <v>2.1999999999999999E-2</v>
      </c>
      <c r="H148">
        <v>2.6589999999999998</v>
      </c>
      <c r="I148" t="s">
        <v>678</v>
      </c>
    </row>
    <row r="149" spans="1:9">
      <c r="A149" t="s">
        <v>640</v>
      </c>
      <c r="B149" t="s">
        <v>586</v>
      </c>
      <c r="C149" s="2" t="s">
        <v>250</v>
      </c>
      <c r="E149">
        <v>41474.853999999999</v>
      </c>
      <c r="G149">
        <v>1.7999999999999999E-2</v>
      </c>
      <c r="H149">
        <v>1.7250000000000001</v>
      </c>
      <c r="I149">
        <v>97</v>
      </c>
    </row>
    <row r="150" spans="1:9">
      <c r="A150" t="s">
        <v>640</v>
      </c>
      <c r="B150" t="s">
        <v>586</v>
      </c>
      <c r="C150" s="2" t="s">
        <v>249</v>
      </c>
      <c r="E150">
        <v>41505.582000000002</v>
      </c>
      <c r="G150">
        <v>2.1000000000000001E-2</v>
      </c>
      <c r="H150">
        <v>1.6</v>
      </c>
      <c r="I150">
        <v>97</v>
      </c>
    </row>
    <row r="151" spans="1:9">
      <c r="A151" t="s">
        <v>679</v>
      </c>
      <c r="B151" t="s">
        <v>576</v>
      </c>
      <c r="C151" s="2" t="s">
        <v>250</v>
      </c>
      <c r="E151">
        <v>41921.904000000002</v>
      </c>
      <c r="G151">
        <v>2.8000000000000001E-2</v>
      </c>
      <c r="H151">
        <v>0.39500000000000002</v>
      </c>
      <c r="I151">
        <v>100</v>
      </c>
    </row>
    <row r="152" spans="1:9">
      <c r="A152" t="s">
        <v>679</v>
      </c>
      <c r="B152" t="s">
        <v>576</v>
      </c>
      <c r="C152" s="2" t="s">
        <v>249</v>
      </c>
      <c r="E152">
        <v>41960.949000000001</v>
      </c>
      <c r="G152">
        <v>1.7999999999999999E-2</v>
      </c>
      <c r="H152">
        <v>1.0209999999999999</v>
      </c>
      <c r="I152">
        <v>100</v>
      </c>
    </row>
    <row r="153" spans="1:9">
      <c r="A153" t="s">
        <v>679</v>
      </c>
      <c r="B153" t="s">
        <v>576</v>
      </c>
      <c r="C153" s="2" t="s">
        <v>251</v>
      </c>
      <c r="E153">
        <v>42015.557000000001</v>
      </c>
      <c r="G153">
        <v>1.7000000000000001E-2</v>
      </c>
      <c r="H153">
        <v>1.2370000000000001</v>
      </c>
      <c r="I153">
        <v>100</v>
      </c>
    </row>
    <row r="154" spans="1:9">
      <c r="A154" t="s">
        <v>679</v>
      </c>
      <c r="B154" t="s">
        <v>576</v>
      </c>
      <c r="C154" s="2" t="s">
        <v>252</v>
      </c>
      <c r="E154">
        <v>42085.131999999998</v>
      </c>
      <c r="G154">
        <v>2.4E-2</v>
      </c>
      <c r="H154">
        <v>1.32</v>
      </c>
      <c r="I154">
        <v>100</v>
      </c>
    </row>
    <row r="155" spans="1:9">
      <c r="A155" t="s">
        <v>680</v>
      </c>
      <c r="B155" t="s">
        <v>577</v>
      </c>
      <c r="C155" s="2" t="s">
        <v>249</v>
      </c>
      <c r="E155">
        <v>42149.641000000003</v>
      </c>
      <c r="G155">
        <v>1.2999999999999999E-2</v>
      </c>
      <c r="I155" t="s">
        <v>681</v>
      </c>
    </row>
    <row r="156" spans="1:9">
      <c r="A156" t="s">
        <v>680</v>
      </c>
      <c r="B156" t="s">
        <v>577</v>
      </c>
      <c r="C156" s="2" t="s">
        <v>251</v>
      </c>
      <c r="E156">
        <v>42198.824999999997</v>
      </c>
      <c r="G156">
        <v>1.4999999999999999E-2</v>
      </c>
      <c r="I156" t="s">
        <v>682</v>
      </c>
    </row>
    <row r="157" spans="1:9">
      <c r="A157" t="s">
        <v>680</v>
      </c>
      <c r="B157" t="s">
        <v>209</v>
      </c>
      <c r="C157" s="2" t="s">
        <v>249</v>
      </c>
      <c r="E157">
        <v>42445.508999999998</v>
      </c>
      <c r="G157">
        <v>3.7999999999999999E-2</v>
      </c>
      <c r="I157" t="s">
        <v>683</v>
      </c>
    </row>
    <row r="158" spans="1:9">
      <c r="A158" t="s">
        <v>680</v>
      </c>
      <c r="B158" t="s">
        <v>209</v>
      </c>
      <c r="C158" s="2" t="s">
        <v>250</v>
      </c>
      <c r="E158">
        <v>42466.368999999999</v>
      </c>
      <c r="G158">
        <v>3.2000000000000001E-2</v>
      </c>
      <c r="H158">
        <v>0.80200000000000005</v>
      </c>
      <c r="I158" t="s">
        <v>684</v>
      </c>
    </row>
    <row r="159" spans="1:9">
      <c r="A159" t="s">
        <v>685</v>
      </c>
      <c r="B159" t="s">
        <v>211</v>
      </c>
      <c r="C159" s="2" t="s">
        <v>250</v>
      </c>
      <c r="E159">
        <v>42780.396999999997</v>
      </c>
      <c r="G159">
        <v>0.02</v>
      </c>
      <c r="I159" t="s">
        <v>686</v>
      </c>
    </row>
    <row r="160" spans="1:9">
      <c r="A160" t="s">
        <v>685</v>
      </c>
      <c r="B160" t="s">
        <v>211</v>
      </c>
      <c r="C160" s="2" t="s">
        <v>248</v>
      </c>
      <c r="E160">
        <v>42819.457999999999</v>
      </c>
      <c r="G160">
        <v>2.5000000000000001E-2</v>
      </c>
      <c r="I160" t="s">
        <v>687</v>
      </c>
    </row>
    <row r="161" spans="1:9">
      <c r="A161" t="s">
        <v>640</v>
      </c>
      <c r="B161" t="s">
        <v>206</v>
      </c>
      <c r="C161" s="2" t="s">
        <v>248</v>
      </c>
      <c r="E161">
        <v>42877.58</v>
      </c>
      <c r="G161">
        <v>0.05</v>
      </c>
      <c r="H161">
        <v>1.9910000000000001</v>
      </c>
      <c r="I161" t="s">
        <v>688</v>
      </c>
    </row>
    <row r="162" spans="1:9">
      <c r="A162" t="s">
        <v>616</v>
      </c>
      <c r="B162" t="s">
        <v>689</v>
      </c>
      <c r="C162" s="2" t="s">
        <v>249</v>
      </c>
      <c r="E162">
        <v>42917.84</v>
      </c>
      <c r="G162">
        <v>2.7E-2</v>
      </c>
      <c r="H162">
        <v>1.19</v>
      </c>
      <c r="I162" t="s">
        <v>690</v>
      </c>
    </row>
    <row r="163" spans="1:9">
      <c r="A163" t="s">
        <v>616</v>
      </c>
      <c r="B163" t="s">
        <v>689</v>
      </c>
      <c r="C163" s="2" t="s">
        <v>250</v>
      </c>
      <c r="E163">
        <v>42937.525999999998</v>
      </c>
      <c r="G163">
        <v>2.7E-2</v>
      </c>
      <c r="H163">
        <v>0.78</v>
      </c>
      <c r="I163" t="s">
        <v>691</v>
      </c>
    </row>
    <row r="164" spans="1:9">
      <c r="A164" t="s">
        <v>685</v>
      </c>
      <c r="B164" t="s">
        <v>219</v>
      </c>
      <c r="C164" s="2" t="s">
        <v>249</v>
      </c>
      <c r="E164">
        <v>42938.78</v>
      </c>
      <c r="G164">
        <v>0.04</v>
      </c>
      <c r="I164" t="s">
        <v>692</v>
      </c>
    </row>
    <row r="165" spans="1:9">
      <c r="A165" t="s">
        <v>685</v>
      </c>
      <c r="B165" t="s">
        <v>219</v>
      </c>
      <c r="C165" s="2" t="s">
        <v>251</v>
      </c>
      <c r="E165">
        <v>42978.798999999999</v>
      </c>
      <c r="G165">
        <v>2.1999999999999999E-2</v>
      </c>
      <c r="I165" t="s">
        <v>693</v>
      </c>
    </row>
    <row r="166" spans="1:9">
      <c r="A166" t="s">
        <v>680</v>
      </c>
      <c r="B166" t="s">
        <v>594</v>
      </c>
      <c r="C166" s="2" t="s">
        <v>252</v>
      </c>
      <c r="E166">
        <v>42942.49</v>
      </c>
      <c r="G166">
        <v>0.05</v>
      </c>
      <c r="H166">
        <v>1.01</v>
      </c>
      <c r="I166" t="s">
        <v>694</v>
      </c>
    </row>
    <row r="167" spans="1:9">
      <c r="A167" t="s">
        <v>680</v>
      </c>
      <c r="B167" t="s">
        <v>594</v>
      </c>
      <c r="C167" s="2" t="s">
        <v>251</v>
      </c>
      <c r="E167">
        <v>42969.760000000002</v>
      </c>
      <c r="G167">
        <v>0.04</v>
      </c>
      <c r="H167">
        <v>0.93</v>
      </c>
      <c r="I167" t="s">
        <v>694</v>
      </c>
    </row>
    <row r="168" spans="1:9">
      <c r="A168" t="s">
        <v>685</v>
      </c>
      <c r="B168" t="s">
        <v>218</v>
      </c>
      <c r="C168" s="2" t="s">
        <v>250</v>
      </c>
      <c r="E168">
        <v>43170.438999999998</v>
      </c>
      <c r="G168">
        <v>2.1999999999999999E-2</v>
      </c>
      <c r="I168" t="s">
        <v>695</v>
      </c>
    </row>
    <row r="169" spans="1:9">
      <c r="A169" t="s">
        <v>685</v>
      </c>
      <c r="B169" t="s">
        <v>218</v>
      </c>
      <c r="C169" s="2" t="s">
        <v>249</v>
      </c>
      <c r="E169">
        <v>43252.557000000001</v>
      </c>
      <c r="G169">
        <v>1.6E-2</v>
      </c>
      <c r="I169" t="s">
        <v>696</v>
      </c>
    </row>
    <row r="170" spans="1:9">
      <c r="A170" t="s">
        <v>680</v>
      </c>
      <c r="B170" t="s">
        <v>595</v>
      </c>
      <c r="C170" s="2" t="s">
        <v>248</v>
      </c>
      <c r="E170">
        <v>43429.62</v>
      </c>
      <c r="G170">
        <v>0.03</v>
      </c>
      <c r="H170">
        <v>0.68</v>
      </c>
      <c r="I170" t="s">
        <v>697</v>
      </c>
    </row>
    <row r="171" spans="1:9">
      <c r="A171" t="s">
        <v>680</v>
      </c>
      <c r="B171" t="s">
        <v>595</v>
      </c>
      <c r="C171" s="2" t="s">
        <v>250</v>
      </c>
      <c r="E171">
        <v>43435.39</v>
      </c>
      <c r="G171">
        <v>2.4E-2</v>
      </c>
      <c r="H171">
        <v>1.3360000000000001</v>
      </c>
      <c r="I171" t="s">
        <v>698</v>
      </c>
    </row>
    <row r="172" spans="1:9">
      <c r="A172" t="s">
        <v>699</v>
      </c>
      <c r="B172" t="s">
        <v>209</v>
      </c>
      <c r="C172" s="2" t="s">
        <v>250</v>
      </c>
      <c r="E172">
        <v>43597.133000000002</v>
      </c>
      <c r="G172">
        <v>2.1000000000000001E-2</v>
      </c>
      <c r="I172" t="s">
        <v>700</v>
      </c>
    </row>
    <row r="173" spans="1:9">
      <c r="A173" t="s">
        <v>699</v>
      </c>
      <c r="B173" t="s">
        <v>209</v>
      </c>
      <c r="C173" s="2" t="s">
        <v>249</v>
      </c>
      <c r="E173">
        <v>43658.502</v>
      </c>
      <c r="G173">
        <v>2.1999999999999999E-2</v>
      </c>
      <c r="I173" t="s">
        <v>701</v>
      </c>
    </row>
    <row r="174" spans="1:9">
      <c r="A174" t="s">
        <v>702</v>
      </c>
      <c r="B174" t="s">
        <v>231</v>
      </c>
      <c r="C174" s="2" t="s">
        <v>248</v>
      </c>
      <c r="E174">
        <v>43809.72</v>
      </c>
      <c r="G174">
        <v>0.06</v>
      </c>
      <c r="H174">
        <v>8.9999999999999993E-3</v>
      </c>
      <c r="I174" t="s">
        <v>662</v>
      </c>
    </row>
    <row r="175" spans="1:9">
      <c r="A175" t="s">
        <v>702</v>
      </c>
      <c r="B175" t="s">
        <v>231</v>
      </c>
      <c r="C175" s="2" t="s">
        <v>250</v>
      </c>
      <c r="E175">
        <v>43814.472000000002</v>
      </c>
      <c r="G175">
        <v>4.9000000000000002E-2</v>
      </c>
      <c r="I175" t="s">
        <v>662</v>
      </c>
    </row>
    <row r="176" spans="1:9">
      <c r="A176" t="s">
        <v>702</v>
      </c>
      <c r="B176" t="s">
        <v>231</v>
      </c>
      <c r="C176" s="2" t="s">
        <v>249</v>
      </c>
      <c r="E176">
        <v>43898.27</v>
      </c>
      <c r="G176">
        <v>0.04</v>
      </c>
      <c r="I176" t="s">
        <v>662</v>
      </c>
    </row>
    <row r="177" spans="1:9">
      <c r="A177" t="s">
        <v>702</v>
      </c>
      <c r="B177" t="s">
        <v>231</v>
      </c>
      <c r="C177" s="2" t="s">
        <v>251</v>
      </c>
      <c r="E177">
        <v>43988.160000000003</v>
      </c>
      <c r="G177">
        <v>0.03</v>
      </c>
      <c r="H177">
        <v>1.42</v>
      </c>
      <c r="I177" t="s">
        <v>662</v>
      </c>
    </row>
    <row r="178" spans="1:9">
      <c r="A178" t="s">
        <v>643</v>
      </c>
      <c r="B178" t="s">
        <v>219</v>
      </c>
      <c r="C178" s="2" t="s">
        <v>249</v>
      </c>
      <c r="E178">
        <v>43830.118000000002</v>
      </c>
      <c r="G178">
        <v>0.02</v>
      </c>
      <c r="H178">
        <v>0.84499999999999997</v>
      </c>
      <c r="I178" t="s">
        <v>703</v>
      </c>
    </row>
    <row r="179" spans="1:9">
      <c r="A179" t="s">
        <v>643</v>
      </c>
      <c r="B179" t="s">
        <v>219</v>
      </c>
      <c r="C179" s="2" t="s">
        <v>251</v>
      </c>
      <c r="E179">
        <v>43860.110999999997</v>
      </c>
      <c r="G179">
        <v>1.7999999999999999E-2</v>
      </c>
      <c r="H179">
        <v>1.1399999999999999</v>
      </c>
      <c r="I179" t="s">
        <v>704</v>
      </c>
    </row>
    <row r="180" spans="1:9">
      <c r="A180" t="s">
        <v>705</v>
      </c>
      <c r="B180" t="s">
        <v>586</v>
      </c>
      <c r="C180" s="2" t="s">
        <v>248</v>
      </c>
      <c r="E180">
        <v>44030.3</v>
      </c>
      <c r="G180">
        <v>0.04</v>
      </c>
      <c r="H180">
        <v>2.665</v>
      </c>
      <c r="I180" t="s">
        <v>662</v>
      </c>
    </row>
    <row r="181" spans="1:9">
      <c r="A181" t="s">
        <v>705</v>
      </c>
      <c r="B181" t="s">
        <v>586</v>
      </c>
      <c r="C181" s="2" t="s">
        <v>250</v>
      </c>
      <c r="E181">
        <v>44107.228000000003</v>
      </c>
      <c r="G181">
        <v>2.1999999999999999E-2</v>
      </c>
      <c r="H181">
        <v>1.726</v>
      </c>
      <c r="I181" t="s">
        <v>662</v>
      </c>
    </row>
    <row r="182" spans="1:9">
      <c r="A182" t="s">
        <v>705</v>
      </c>
      <c r="B182" t="s">
        <v>586</v>
      </c>
      <c r="C182" s="2" t="s">
        <v>249</v>
      </c>
      <c r="E182">
        <v>44238.2</v>
      </c>
      <c r="G182">
        <v>0.03</v>
      </c>
      <c r="H182">
        <v>1.6</v>
      </c>
      <c r="I182" t="s">
        <v>662</v>
      </c>
    </row>
    <row r="183" spans="1:9">
      <c r="A183" t="s">
        <v>618</v>
      </c>
      <c r="B183" t="s">
        <v>211</v>
      </c>
      <c r="C183" s="2" t="s">
        <v>248</v>
      </c>
      <c r="E183">
        <v>44105.43</v>
      </c>
      <c r="G183">
        <v>2.4E-2</v>
      </c>
      <c r="H183">
        <v>0.66800000000000004</v>
      </c>
      <c r="I183" t="s">
        <v>706</v>
      </c>
    </row>
    <row r="184" spans="1:9">
      <c r="A184" t="s">
        <v>618</v>
      </c>
      <c r="B184" t="s">
        <v>211</v>
      </c>
      <c r="C184" s="2" t="s">
        <v>250</v>
      </c>
      <c r="E184">
        <v>44189.284</v>
      </c>
      <c r="G184">
        <v>2.1999999999999999E-2</v>
      </c>
      <c r="H184">
        <v>1.331</v>
      </c>
      <c r="I184" t="s">
        <v>707</v>
      </c>
    </row>
    <row r="185" spans="1:9">
      <c r="A185" t="s">
        <v>705</v>
      </c>
      <c r="B185" t="s">
        <v>595</v>
      </c>
      <c r="C185" s="2" t="s">
        <v>250</v>
      </c>
      <c r="E185">
        <v>44594.955000000002</v>
      </c>
      <c r="G185">
        <v>1.7999999999999999E-2</v>
      </c>
      <c r="H185">
        <v>1.35</v>
      </c>
      <c r="I185" t="s">
        <v>662</v>
      </c>
    </row>
    <row r="186" spans="1:9">
      <c r="A186" t="s">
        <v>705</v>
      </c>
      <c r="B186" t="s">
        <v>595</v>
      </c>
      <c r="C186" s="2" t="s">
        <v>248</v>
      </c>
      <c r="E186">
        <v>44690.637000000002</v>
      </c>
      <c r="G186">
        <v>2.3E-2</v>
      </c>
      <c r="H186">
        <v>0.67</v>
      </c>
      <c r="I186" t="s">
        <v>662</v>
      </c>
    </row>
    <row r="187" spans="1:9">
      <c r="A187" t="s">
        <v>705</v>
      </c>
      <c r="B187" t="s">
        <v>576</v>
      </c>
      <c r="C187" s="2" t="s">
        <v>250</v>
      </c>
      <c r="E187">
        <v>44823.186999999998</v>
      </c>
      <c r="G187">
        <v>2.5000000000000001E-2</v>
      </c>
      <c r="H187">
        <v>0.39900000000000002</v>
      </c>
      <c r="I187" t="s">
        <v>662</v>
      </c>
    </row>
    <row r="188" spans="1:9">
      <c r="A188" t="s">
        <v>705</v>
      </c>
      <c r="B188" t="s">
        <v>576</v>
      </c>
      <c r="C188" s="2" t="s">
        <v>249</v>
      </c>
      <c r="E188">
        <v>44909.52</v>
      </c>
      <c r="G188">
        <v>2.1000000000000001E-2</v>
      </c>
      <c r="H188">
        <v>0.99199999999999999</v>
      </c>
      <c r="I188" t="s">
        <v>662</v>
      </c>
    </row>
    <row r="189" spans="1:9">
      <c r="A189" t="s">
        <v>705</v>
      </c>
      <c r="B189" t="s">
        <v>576</v>
      </c>
      <c r="C189" s="2" t="s">
        <v>251</v>
      </c>
      <c r="E189">
        <v>45016.415000000001</v>
      </c>
      <c r="G189">
        <v>2.3E-2</v>
      </c>
      <c r="H189">
        <v>1.22</v>
      </c>
      <c r="I189" t="s">
        <v>662</v>
      </c>
    </row>
    <row r="190" spans="1:9">
      <c r="A190" t="s">
        <v>705</v>
      </c>
      <c r="B190" t="s">
        <v>576</v>
      </c>
      <c r="C190" s="2" t="s">
        <v>252</v>
      </c>
      <c r="E190">
        <v>45125.673000000003</v>
      </c>
      <c r="G190">
        <v>2.5000000000000001E-2</v>
      </c>
      <c r="H190">
        <v>1.33</v>
      </c>
      <c r="I190" t="s">
        <v>662</v>
      </c>
    </row>
    <row r="191" spans="1:9">
      <c r="A191" t="s">
        <v>705</v>
      </c>
      <c r="B191" t="s">
        <v>577</v>
      </c>
      <c r="C191" s="2" t="s">
        <v>249</v>
      </c>
      <c r="E191">
        <v>44838.555999999997</v>
      </c>
      <c r="G191">
        <v>0.03</v>
      </c>
      <c r="H191">
        <v>0.9</v>
      </c>
      <c r="I191" t="s">
        <v>662</v>
      </c>
    </row>
    <row r="192" spans="1:9">
      <c r="A192" t="s">
        <v>705</v>
      </c>
      <c r="B192" t="s">
        <v>577</v>
      </c>
      <c r="C192" s="2" t="s">
        <v>251</v>
      </c>
      <c r="E192">
        <v>44941.779000000002</v>
      </c>
      <c r="G192">
        <v>2.1000000000000001E-2</v>
      </c>
      <c r="H192">
        <v>1.1599999999999999</v>
      </c>
      <c r="I192" t="s">
        <v>662</v>
      </c>
    </row>
    <row r="193" spans="1:9">
      <c r="A193" t="s">
        <v>680</v>
      </c>
      <c r="B193" t="s">
        <v>206</v>
      </c>
      <c r="C193" s="2" t="s">
        <v>248</v>
      </c>
      <c r="E193">
        <v>45514.98</v>
      </c>
      <c r="G193">
        <v>0.04</v>
      </c>
      <c r="H193">
        <v>2</v>
      </c>
      <c r="I193" t="s">
        <v>708</v>
      </c>
    </row>
    <row r="194" spans="1:9">
      <c r="A194" t="s">
        <v>705</v>
      </c>
      <c r="B194" t="s">
        <v>231</v>
      </c>
      <c r="C194" s="2" t="s">
        <v>248</v>
      </c>
      <c r="E194">
        <v>45574.625999999997</v>
      </c>
      <c r="G194">
        <v>2.5000000000000001E-2</v>
      </c>
      <c r="H194">
        <v>0</v>
      </c>
      <c r="I194" t="s">
        <v>662</v>
      </c>
    </row>
    <row r="195" spans="1:9">
      <c r="A195" t="s">
        <v>705</v>
      </c>
      <c r="B195" t="s">
        <v>231</v>
      </c>
      <c r="C195" s="2" t="s">
        <v>250</v>
      </c>
      <c r="E195">
        <v>45605.779000000002</v>
      </c>
      <c r="G195">
        <v>2.1999999999999999E-2</v>
      </c>
      <c r="H195">
        <v>1.1879999999999999</v>
      </c>
      <c r="I195" t="s">
        <v>662</v>
      </c>
    </row>
    <row r="196" spans="1:9">
      <c r="A196" t="s">
        <v>705</v>
      </c>
      <c r="B196" t="s">
        <v>231</v>
      </c>
      <c r="C196" s="2" t="s">
        <v>249</v>
      </c>
      <c r="E196">
        <v>45659.076999999997</v>
      </c>
      <c r="G196">
        <v>0.02</v>
      </c>
      <c r="H196">
        <v>1.38</v>
      </c>
      <c r="I196" t="s">
        <v>662</v>
      </c>
    </row>
    <row r="197" spans="1:9">
      <c r="A197" t="s">
        <v>705</v>
      </c>
      <c r="B197" t="s">
        <v>231</v>
      </c>
      <c r="C197" s="2" t="s">
        <v>251</v>
      </c>
      <c r="E197">
        <v>45737.15</v>
      </c>
      <c r="G197">
        <v>2.1999999999999999E-2</v>
      </c>
      <c r="H197">
        <v>1.41</v>
      </c>
      <c r="I197" t="s">
        <v>662</v>
      </c>
    </row>
    <row r="198" spans="1:9">
      <c r="A198" t="s">
        <v>709</v>
      </c>
      <c r="B198" t="s">
        <v>606</v>
      </c>
      <c r="C198" s="2" t="s">
        <v>249</v>
      </c>
      <c r="E198">
        <v>45610.48</v>
      </c>
      <c r="G198">
        <v>0.04</v>
      </c>
      <c r="I198">
        <v>100</v>
      </c>
    </row>
    <row r="199" spans="1:9">
      <c r="A199" t="s">
        <v>709</v>
      </c>
      <c r="B199" t="s">
        <v>606</v>
      </c>
      <c r="C199" s="2" t="s">
        <v>251</v>
      </c>
      <c r="E199">
        <v>45645</v>
      </c>
      <c r="G199">
        <v>0.05</v>
      </c>
      <c r="I199">
        <v>100</v>
      </c>
    </row>
    <row r="200" spans="1:9">
      <c r="A200" t="s">
        <v>709</v>
      </c>
      <c r="B200" t="s">
        <v>606</v>
      </c>
      <c r="C200" s="2" t="s">
        <v>252</v>
      </c>
      <c r="E200">
        <v>45691.199999999997</v>
      </c>
      <c r="G200">
        <v>0.04</v>
      </c>
      <c r="I200">
        <v>100</v>
      </c>
    </row>
    <row r="201" spans="1:9">
      <c r="A201" t="s">
        <v>709</v>
      </c>
      <c r="B201" t="s">
        <v>606</v>
      </c>
      <c r="C201" s="2" t="s">
        <v>1702</v>
      </c>
      <c r="E201">
        <v>45761.1</v>
      </c>
      <c r="G201">
        <v>0.05</v>
      </c>
      <c r="I201">
        <v>100</v>
      </c>
    </row>
    <row r="202" spans="1:9">
      <c r="A202" t="s">
        <v>710</v>
      </c>
      <c r="B202" t="s">
        <v>651</v>
      </c>
      <c r="C202" s="2" t="s">
        <v>249</v>
      </c>
      <c r="E202">
        <v>45715.771000000001</v>
      </c>
      <c r="G202">
        <v>4.4999999999999998E-2</v>
      </c>
      <c r="I202" t="s">
        <v>711</v>
      </c>
    </row>
    <row r="203" spans="1:9">
      <c r="A203" t="s">
        <v>710</v>
      </c>
      <c r="B203" t="s">
        <v>651</v>
      </c>
      <c r="C203" s="2" t="s">
        <v>251</v>
      </c>
      <c r="E203">
        <v>45752.269</v>
      </c>
      <c r="G203">
        <v>2.5999999999999999E-2</v>
      </c>
      <c r="I203" t="s">
        <v>712</v>
      </c>
    </row>
    <row r="204" spans="1:9">
      <c r="A204" t="s">
        <v>710</v>
      </c>
      <c r="B204" t="s">
        <v>651</v>
      </c>
      <c r="C204" s="2" t="s">
        <v>252</v>
      </c>
      <c r="E204">
        <v>45804.137999999999</v>
      </c>
      <c r="G204">
        <v>1.9E-2</v>
      </c>
      <c r="H204">
        <v>1.1599999999999999</v>
      </c>
      <c r="I204" t="s">
        <v>713</v>
      </c>
    </row>
    <row r="205" spans="1:9">
      <c r="A205" t="s">
        <v>710</v>
      </c>
      <c r="B205" t="s">
        <v>651</v>
      </c>
      <c r="C205" s="2" t="s">
        <v>1702</v>
      </c>
      <c r="E205">
        <v>45870.86</v>
      </c>
      <c r="G205">
        <v>0.03</v>
      </c>
      <c r="I205" t="s">
        <v>714</v>
      </c>
    </row>
    <row r="206" spans="1:9">
      <c r="B206" t="s">
        <v>291</v>
      </c>
      <c r="C206" s="2" t="s">
        <v>661</v>
      </c>
      <c r="E206">
        <v>45843.648999999998</v>
      </c>
      <c r="G206">
        <v>0.01</v>
      </c>
      <c r="I206" t="s">
        <v>662</v>
      </c>
    </row>
    <row r="207" spans="1:9">
      <c r="A207" t="s">
        <v>715</v>
      </c>
      <c r="B207" t="s">
        <v>231</v>
      </c>
      <c r="C207" s="2" t="s">
        <v>248</v>
      </c>
      <c r="E207">
        <v>45875.16</v>
      </c>
      <c r="G207">
        <v>0.03</v>
      </c>
      <c r="H207">
        <v>0</v>
      </c>
      <c r="I207" t="s">
        <v>662</v>
      </c>
    </row>
    <row r="208" spans="1:9">
      <c r="A208" t="s">
        <v>715</v>
      </c>
      <c r="B208" t="s">
        <v>231</v>
      </c>
      <c r="C208" s="2" t="s">
        <v>250</v>
      </c>
      <c r="E208">
        <v>45900.021000000001</v>
      </c>
      <c r="G208">
        <v>2.1999999999999999E-2</v>
      </c>
      <c r="H208">
        <v>1.1830000000000001</v>
      </c>
      <c r="I208" t="s">
        <v>662</v>
      </c>
    </row>
    <row r="209" spans="1:9">
      <c r="A209" t="s">
        <v>715</v>
      </c>
      <c r="B209" t="s">
        <v>231</v>
      </c>
      <c r="C209" s="2" t="s">
        <v>249</v>
      </c>
      <c r="E209">
        <v>45945.050999999999</v>
      </c>
      <c r="G209">
        <v>2.1999999999999999E-2</v>
      </c>
      <c r="I209" t="s">
        <v>662</v>
      </c>
    </row>
    <row r="210" spans="1:9">
      <c r="A210" t="s">
        <v>715</v>
      </c>
      <c r="B210" t="s">
        <v>231</v>
      </c>
      <c r="C210" s="2" t="s">
        <v>251</v>
      </c>
      <c r="E210">
        <v>46016.525000000001</v>
      </c>
      <c r="G210">
        <v>2.8000000000000001E-2</v>
      </c>
      <c r="H210">
        <v>1.4</v>
      </c>
      <c r="I210" t="s">
        <v>662</v>
      </c>
    </row>
    <row r="211" spans="1:9">
      <c r="A211" t="s">
        <v>710</v>
      </c>
      <c r="B211" t="s">
        <v>716</v>
      </c>
      <c r="C211" s="2" t="s">
        <v>251</v>
      </c>
      <c r="E211">
        <v>45878.05</v>
      </c>
      <c r="G211">
        <v>0.03</v>
      </c>
      <c r="H211">
        <v>0.65</v>
      </c>
      <c r="I211" t="s">
        <v>717</v>
      </c>
    </row>
    <row r="212" spans="1:9">
      <c r="A212" t="s">
        <v>710</v>
      </c>
      <c r="B212" t="s">
        <v>716</v>
      </c>
      <c r="C212" s="2" t="s">
        <v>252</v>
      </c>
      <c r="E212">
        <v>45925.120000000003</v>
      </c>
      <c r="G212">
        <v>0.05</v>
      </c>
      <c r="H212">
        <v>1</v>
      </c>
      <c r="I212" t="s">
        <v>718</v>
      </c>
    </row>
    <row r="213" spans="1:9">
      <c r="A213" t="s">
        <v>710</v>
      </c>
      <c r="B213" t="s">
        <v>716</v>
      </c>
      <c r="C213" s="2" t="s">
        <v>1702</v>
      </c>
      <c r="E213">
        <v>45985.87</v>
      </c>
      <c r="G213">
        <v>0.05</v>
      </c>
      <c r="H213">
        <v>1.1399999999999999</v>
      </c>
      <c r="I213" t="s">
        <v>719</v>
      </c>
    </row>
    <row r="214" spans="1:9">
      <c r="A214" t="s">
        <v>710</v>
      </c>
      <c r="B214" t="s">
        <v>716</v>
      </c>
      <c r="C214" s="2" t="s">
        <v>720</v>
      </c>
      <c r="E214">
        <v>46054.3</v>
      </c>
      <c r="G214">
        <v>0.05</v>
      </c>
      <c r="H214">
        <v>1.21</v>
      </c>
      <c r="I214">
        <v>100</v>
      </c>
    </row>
    <row r="215" spans="1:9">
      <c r="A215" t="s">
        <v>715</v>
      </c>
      <c r="B215" t="s">
        <v>651</v>
      </c>
      <c r="C215" s="2" t="s">
        <v>249</v>
      </c>
      <c r="E215">
        <v>45886.563999999998</v>
      </c>
      <c r="G215">
        <v>3.4000000000000002E-2</v>
      </c>
      <c r="H215">
        <v>0.62</v>
      </c>
      <c r="I215" t="s">
        <v>662</v>
      </c>
    </row>
    <row r="216" spans="1:9">
      <c r="A216" t="s">
        <v>715</v>
      </c>
      <c r="B216" t="s">
        <v>651</v>
      </c>
      <c r="C216" s="2" t="s">
        <v>251</v>
      </c>
      <c r="E216">
        <v>45931.135999999999</v>
      </c>
      <c r="G216">
        <v>0.03</v>
      </c>
      <c r="H216">
        <v>0.97</v>
      </c>
      <c r="I216" t="s">
        <v>662</v>
      </c>
    </row>
    <row r="217" spans="1:9">
      <c r="A217" t="s">
        <v>715</v>
      </c>
      <c r="B217" t="s">
        <v>651</v>
      </c>
      <c r="C217" s="2" t="s">
        <v>252</v>
      </c>
      <c r="E217">
        <v>45988.911999999997</v>
      </c>
      <c r="G217">
        <v>2.8000000000000001E-2</v>
      </c>
      <c r="H217">
        <v>1.08</v>
      </c>
      <c r="I217" t="s">
        <v>662</v>
      </c>
    </row>
    <row r="218" spans="1:9">
      <c r="A218" t="s">
        <v>715</v>
      </c>
      <c r="B218" t="s">
        <v>651</v>
      </c>
      <c r="C218" s="2" t="s">
        <v>1702</v>
      </c>
      <c r="E218">
        <v>46053.51</v>
      </c>
      <c r="G218">
        <v>0.04</v>
      </c>
      <c r="H218">
        <v>1.24</v>
      </c>
      <c r="I218" t="s">
        <v>662</v>
      </c>
    </row>
    <row r="219" spans="1:9">
      <c r="B219" t="s">
        <v>291</v>
      </c>
      <c r="C219" s="2" t="s">
        <v>250</v>
      </c>
      <c r="E219">
        <v>45898.603999999999</v>
      </c>
      <c r="G219">
        <v>1.2999999999999999E-2</v>
      </c>
      <c r="I219" t="s">
        <v>662</v>
      </c>
    </row>
    <row r="220" spans="1:9">
      <c r="B220" t="s">
        <v>291</v>
      </c>
      <c r="C220" s="2" t="s">
        <v>661</v>
      </c>
      <c r="E220">
        <v>45904.85</v>
      </c>
      <c r="G220">
        <v>1.0999999999999999E-2</v>
      </c>
      <c r="I220" t="s">
        <v>662</v>
      </c>
    </row>
    <row r="221" spans="1:9">
      <c r="A221" t="s">
        <v>710</v>
      </c>
      <c r="B221" t="s">
        <v>231</v>
      </c>
      <c r="C221" s="2" t="s">
        <v>248</v>
      </c>
      <c r="E221">
        <v>45927.798999999999</v>
      </c>
      <c r="G221">
        <v>2.1000000000000001E-2</v>
      </c>
      <c r="H221">
        <v>0</v>
      </c>
      <c r="I221">
        <v>97</v>
      </c>
    </row>
    <row r="222" spans="1:9">
      <c r="A222" t="s">
        <v>710</v>
      </c>
      <c r="B222" t="s">
        <v>231</v>
      </c>
      <c r="C222" s="2" t="s">
        <v>250</v>
      </c>
      <c r="E222">
        <v>45947.341</v>
      </c>
      <c r="G222">
        <v>2.7E-2</v>
      </c>
      <c r="I222">
        <v>97</v>
      </c>
    </row>
    <row r="223" spans="1:9">
      <c r="A223" t="s">
        <v>710</v>
      </c>
      <c r="B223" t="s">
        <v>231</v>
      </c>
      <c r="C223" s="2" t="s">
        <v>249</v>
      </c>
      <c r="E223">
        <v>45983.203000000001</v>
      </c>
      <c r="G223">
        <v>0.02</v>
      </c>
      <c r="H223">
        <v>1.33</v>
      </c>
      <c r="I223">
        <v>96</v>
      </c>
    </row>
    <row r="224" spans="1:9">
      <c r="A224" t="s">
        <v>710</v>
      </c>
      <c r="B224" t="s">
        <v>231</v>
      </c>
      <c r="C224" s="2" t="s">
        <v>251</v>
      </c>
      <c r="E224">
        <v>46042.650999999998</v>
      </c>
      <c r="G224">
        <v>2.3E-2</v>
      </c>
      <c r="H224">
        <v>1.43</v>
      </c>
      <c r="I224" t="s">
        <v>721</v>
      </c>
    </row>
    <row r="225" spans="1:9">
      <c r="B225" t="s">
        <v>291</v>
      </c>
      <c r="C225" s="2" t="s">
        <v>661</v>
      </c>
      <c r="E225">
        <v>45937.13</v>
      </c>
      <c r="G225">
        <v>1.2E-2</v>
      </c>
      <c r="I225" t="s">
        <v>662</v>
      </c>
    </row>
    <row r="226" spans="1:9">
      <c r="B226" t="s">
        <v>291</v>
      </c>
      <c r="C226" s="2" t="s">
        <v>661</v>
      </c>
      <c r="E226">
        <v>45972.697999999997</v>
      </c>
      <c r="G226">
        <v>1.0999999999999999E-2</v>
      </c>
      <c r="I226" t="s">
        <v>662</v>
      </c>
    </row>
    <row r="227" spans="1:9">
      <c r="B227" t="s">
        <v>291</v>
      </c>
      <c r="C227" s="2" t="s">
        <v>661</v>
      </c>
      <c r="E227">
        <v>46008.239000000001</v>
      </c>
      <c r="G227">
        <v>1.2E-2</v>
      </c>
      <c r="I227" t="s">
        <v>662</v>
      </c>
    </row>
    <row r="228" spans="1:9">
      <c r="B228" t="s">
        <v>291</v>
      </c>
      <c r="C228" s="2" t="s">
        <v>661</v>
      </c>
      <c r="E228">
        <v>46019.87</v>
      </c>
      <c r="G228">
        <v>1.2E-2</v>
      </c>
      <c r="I228" t="s">
        <v>662</v>
      </c>
    </row>
    <row r="229" spans="1:9">
      <c r="A229" t="s">
        <v>709</v>
      </c>
      <c r="B229" t="s">
        <v>214</v>
      </c>
      <c r="C229" s="2" t="s">
        <v>250</v>
      </c>
      <c r="E229">
        <v>46206.76</v>
      </c>
      <c r="G229">
        <v>0.03</v>
      </c>
      <c r="I229">
        <v>100</v>
      </c>
    </row>
    <row r="230" spans="1:9">
      <c r="A230" t="s">
        <v>709</v>
      </c>
      <c r="B230" t="s">
        <v>214</v>
      </c>
      <c r="C230" s="2" t="s">
        <v>249</v>
      </c>
      <c r="E230">
        <v>46255.377</v>
      </c>
      <c r="G230">
        <v>1.0999999999999999E-2</v>
      </c>
      <c r="I230">
        <v>99</v>
      </c>
    </row>
    <row r="231" spans="1:9">
      <c r="A231" t="s">
        <v>709</v>
      </c>
      <c r="B231" t="s">
        <v>214</v>
      </c>
      <c r="C231" s="2" t="s">
        <v>251</v>
      </c>
      <c r="E231">
        <v>46266.13</v>
      </c>
      <c r="G231">
        <v>0.04</v>
      </c>
      <c r="I231">
        <v>99</v>
      </c>
    </row>
    <row r="232" spans="1:9">
      <c r="A232" t="s">
        <v>709</v>
      </c>
      <c r="B232" t="s">
        <v>214</v>
      </c>
      <c r="C232" s="2" t="s">
        <v>252</v>
      </c>
      <c r="E232">
        <v>46369.17</v>
      </c>
      <c r="G232">
        <v>0.04</v>
      </c>
      <c r="I232">
        <v>100</v>
      </c>
    </row>
    <row r="233" spans="1:9">
      <c r="A233" t="s">
        <v>715</v>
      </c>
      <c r="B233" t="s">
        <v>576</v>
      </c>
      <c r="C233" s="2" t="s">
        <v>250</v>
      </c>
      <c r="E233">
        <v>46329.201000000001</v>
      </c>
      <c r="G233">
        <v>2.7E-2</v>
      </c>
      <c r="H233">
        <v>0.44</v>
      </c>
      <c r="I233" t="s">
        <v>662</v>
      </c>
    </row>
    <row r="234" spans="1:9">
      <c r="A234" t="s">
        <v>715</v>
      </c>
      <c r="B234" t="s">
        <v>576</v>
      </c>
      <c r="C234" s="2" t="s">
        <v>249</v>
      </c>
      <c r="E234">
        <v>46354.372000000003</v>
      </c>
      <c r="G234">
        <v>2.8000000000000001E-2</v>
      </c>
      <c r="H234">
        <v>1.02</v>
      </c>
      <c r="I234" t="s">
        <v>662</v>
      </c>
    </row>
    <row r="235" spans="1:9">
      <c r="A235" t="s">
        <v>715</v>
      </c>
      <c r="B235" t="s">
        <v>576</v>
      </c>
      <c r="C235" s="2" t="s">
        <v>251</v>
      </c>
      <c r="E235">
        <v>46403.267</v>
      </c>
      <c r="G235">
        <v>2.4E-2</v>
      </c>
      <c r="H235">
        <v>1.23</v>
      </c>
      <c r="I235" t="s">
        <v>662</v>
      </c>
    </row>
    <row r="236" spans="1:9">
      <c r="A236" t="s">
        <v>715</v>
      </c>
      <c r="B236" t="s">
        <v>576</v>
      </c>
      <c r="C236" s="2" t="s">
        <v>252</v>
      </c>
      <c r="E236">
        <v>46458.59</v>
      </c>
      <c r="G236">
        <v>0.03</v>
      </c>
      <c r="H236">
        <v>1.31</v>
      </c>
      <c r="I236" t="s">
        <v>662</v>
      </c>
    </row>
    <row r="237" spans="1:9">
      <c r="B237" t="s">
        <v>577</v>
      </c>
      <c r="C237" s="2" t="s">
        <v>249</v>
      </c>
      <c r="E237">
        <v>46378.813000000002</v>
      </c>
      <c r="G237">
        <v>2.7E-2</v>
      </c>
      <c r="H237">
        <v>0.86</v>
      </c>
      <c r="I237" t="s">
        <v>662</v>
      </c>
    </row>
    <row r="238" spans="1:9">
      <c r="B238" t="s">
        <v>577</v>
      </c>
      <c r="C238" s="2" t="s">
        <v>251</v>
      </c>
      <c r="E238">
        <v>46459.624000000003</v>
      </c>
      <c r="G238">
        <v>2.8000000000000001E-2</v>
      </c>
      <c r="H238">
        <v>1.1399999999999999</v>
      </c>
      <c r="I238" t="s">
        <v>662</v>
      </c>
    </row>
    <row r="239" spans="1:9">
      <c r="A239" t="s">
        <v>709</v>
      </c>
      <c r="B239" t="s">
        <v>216</v>
      </c>
      <c r="C239" s="2" t="s">
        <v>248</v>
      </c>
      <c r="E239">
        <v>46485.4</v>
      </c>
      <c r="G239">
        <v>0.05</v>
      </c>
      <c r="I239">
        <v>100</v>
      </c>
    </row>
    <row r="240" spans="1:9">
      <c r="A240" t="s">
        <v>709</v>
      </c>
      <c r="B240" t="s">
        <v>216</v>
      </c>
      <c r="C240" s="2" t="s">
        <v>250</v>
      </c>
      <c r="E240">
        <v>46517.55</v>
      </c>
      <c r="G240">
        <v>0.04</v>
      </c>
      <c r="I240">
        <v>99</v>
      </c>
    </row>
    <row r="241" spans="1:9">
      <c r="A241" t="s">
        <v>709</v>
      </c>
      <c r="B241" t="s">
        <v>216</v>
      </c>
      <c r="C241" s="2" t="s">
        <v>249</v>
      </c>
      <c r="E241">
        <v>46570.34</v>
      </c>
      <c r="G241">
        <v>0.1</v>
      </c>
      <c r="I241">
        <v>98</v>
      </c>
    </row>
    <row r="242" spans="1:9">
      <c r="A242" t="s">
        <v>709</v>
      </c>
      <c r="B242" t="s">
        <v>216</v>
      </c>
      <c r="C242" s="2" t="s">
        <v>251</v>
      </c>
      <c r="E242">
        <v>46641.603000000003</v>
      </c>
      <c r="G242">
        <v>4.2000000000000003E-2</v>
      </c>
      <c r="I242">
        <v>97</v>
      </c>
    </row>
    <row r="243" spans="1:9">
      <c r="B243" t="s">
        <v>586</v>
      </c>
      <c r="C243" s="2" t="s">
        <v>249</v>
      </c>
      <c r="E243">
        <v>46623.481</v>
      </c>
      <c r="G243">
        <v>2.7E-2</v>
      </c>
      <c r="H243">
        <v>1.6</v>
      </c>
      <c r="I243" t="s">
        <v>662</v>
      </c>
    </row>
    <row r="244" spans="1:9">
      <c r="B244" t="s">
        <v>291</v>
      </c>
      <c r="C244" s="2" t="s">
        <v>661</v>
      </c>
      <c r="E244">
        <v>46748.536999999997</v>
      </c>
      <c r="G244">
        <v>0.01</v>
      </c>
      <c r="I244" t="s">
        <v>662</v>
      </c>
    </row>
    <row r="245" spans="1:9">
      <c r="B245" t="s">
        <v>209</v>
      </c>
      <c r="C245" s="2" t="s">
        <v>250</v>
      </c>
      <c r="E245">
        <v>46914.546999999999</v>
      </c>
      <c r="G245">
        <v>2.4E-2</v>
      </c>
      <c r="H245">
        <v>0.83</v>
      </c>
      <c r="I245" t="s">
        <v>662</v>
      </c>
    </row>
    <row r="246" spans="1:9">
      <c r="B246" t="s">
        <v>209</v>
      </c>
      <c r="C246" s="2" t="s">
        <v>249</v>
      </c>
      <c r="E246">
        <v>46989.493000000002</v>
      </c>
      <c r="G246">
        <v>2.3E-2</v>
      </c>
      <c r="H246">
        <v>1.1299999999999999</v>
      </c>
      <c r="I246" t="s">
        <v>662</v>
      </c>
    </row>
    <row r="247" spans="1:9">
      <c r="B247" t="s">
        <v>291</v>
      </c>
      <c r="C247" s="2" t="s">
        <v>249</v>
      </c>
      <c r="E247">
        <v>47040.131000000001</v>
      </c>
      <c r="G247">
        <v>1.9E-2</v>
      </c>
      <c r="I247" t="s">
        <v>662</v>
      </c>
    </row>
    <row r="248" spans="1:9">
      <c r="A248" t="s">
        <v>709</v>
      </c>
      <c r="B248" t="s">
        <v>218</v>
      </c>
      <c r="C248" s="2" t="s">
        <v>250</v>
      </c>
      <c r="E248">
        <v>47229.508999999998</v>
      </c>
      <c r="G248">
        <v>0.01</v>
      </c>
      <c r="I248" t="s">
        <v>722</v>
      </c>
    </row>
    <row r="249" spans="1:9">
      <c r="A249" t="s">
        <v>709</v>
      </c>
      <c r="B249" t="s">
        <v>218</v>
      </c>
      <c r="C249" s="2" t="s">
        <v>249</v>
      </c>
      <c r="E249">
        <v>47314.525999999998</v>
      </c>
      <c r="G249">
        <v>0.01</v>
      </c>
      <c r="I249" t="s">
        <v>722</v>
      </c>
    </row>
    <row r="250" spans="1:9">
      <c r="B250" t="s">
        <v>209</v>
      </c>
      <c r="C250" s="2" t="s">
        <v>250</v>
      </c>
      <c r="E250">
        <v>47375.639000000003</v>
      </c>
      <c r="G250">
        <v>2.5000000000000001E-2</v>
      </c>
      <c r="I250" t="s">
        <v>662</v>
      </c>
    </row>
    <row r="251" spans="1:9">
      <c r="B251" t="s">
        <v>209</v>
      </c>
      <c r="C251" s="2" t="s">
        <v>249</v>
      </c>
      <c r="E251">
        <v>47425.462</v>
      </c>
      <c r="G251">
        <v>3.9E-2</v>
      </c>
      <c r="I251" t="s">
        <v>662</v>
      </c>
    </row>
    <row r="252" spans="1:9">
      <c r="A252" t="s">
        <v>723</v>
      </c>
      <c r="B252" t="s">
        <v>231</v>
      </c>
      <c r="C252" s="2" t="s">
        <v>248</v>
      </c>
      <c r="E252">
        <v>47475.87</v>
      </c>
      <c r="G252">
        <v>0.03</v>
      </c>
      <c r="I252" t="s">
        <v>662</v>
      </c>
    </row>
    <row r="253" spans="1:9">
      <c r="A253" t="s">
        <v>723</v>
      </c>
      <c r="B253" t="s">
        <v>231</v>
      </c>
      <c r="C253" s="2" t="s">
        <v>250</v>
      </c>
      <c r="E253">
        <v>47507.360000000001</v>
      </c>
      <c r="G253">
        <v>0.04</v>
      </c>
      <c r="I253" t="s">
        <v>662</v>
      </c>
    </row>
    <row r="254" spans="1:9">
      <c r="A254" t="s">
        <v>723</v>
      </c>
      <c r="B254" t="s">
        <v>231</v>
      </c>
      <c r="C254" s="2" t="s">
        <v>249</v>
      </c>
      <c r="E254">
        <v>47563.273999999998</v>
      </c>
      <c r="G254">
        <v>2.1000000000000001E-2</v>
      </c>
      <c r="I254" t="s">
        <v>662</v>
      </c>
    </row>
    <row r="255" spans="1:9">
      <c r="A255" t="s">
        <v>723</v>
      </c>
      <c r="B255" t="s">
        <v>231</v>
      </c>
      <c r="C255" s="2" t="s">
        <v>251</v>
      </c>
      <c r="E255">
        <v>47652.56</v>
      </c>
      <c r="G255">
        <v>0.04</v>
      </c>
      <c r="I255" t="s">
        <v>662</v>
      </c>
    </row>
    <row r="256" spans="1:9">
      <c r="B256" t="s">
        <v>586</v>
      </c>
      <c r="C256" s="2" t="s">
        <v>248</v>
      </c>
      <c r="E256">
        <v>47488.79</v>
      </c>
      <c r="G256">
        <v>0.05</v>
      </c>
      <c r="I256" t="s">
        <v>662</v>
      </c>
    </row>
    <row r="257" spans="2:9">
      <c r="B257" t="s">
        <v>586</v>
      </c>
      <c r="C257" s="2" t="s">
        <v>250</v>
      </c>
      <c r="E257">
        <v>47535.771999999997</v>
      </c>
      <c r="G257">
        <v>3.6999999999999998E-2</v>
      </c>
      <c r="I257" t="s">
        <v>662</v>
      </c>
    </row>
    <row r="258" spans="2:9">
      <c r="B258" t="s">
        <v>586</v>
      </c>
      <c r="C258" s="2" t="s">
        <v>249</v>
      </c>
      <c r="E258">
        <v>47604.55</v>
      </c>
      <c r="G258">
        <v>0.03</v>
      </c>
      <c r="I258" t="s">
        <v>662</v>
      </c>
    </row>
    <row r="259" spans="2:9">
      <c r="B259" t="s">
        <v>594</v>
      </c>
      <c r="C259" s="2" t="s">
        <v>251</v>
      </c>
      <c r="E259">
        <v>47514.21</v>
      </c>
      <c r="G259">
        <v>0.03</v>
      </c>
      <c r="I259" t="s">
        <v>662</v>
      </c>
    </row>
    <row r="260" spans="2:9">
      <c r="B260" t="s">
        <v>594</v>
      </c>
      <c r="C260" s="2" t="s">
        <v>252</v>
      </c>
      <c r="E260">
        <v>47589.718999999997</v>
      </c>
      <c r="G260">
        <v>2.4E-2</v>
      </c>
      <c r="I260" t="s">
        <v>662</v>
      </c>
    </row>
    <row r="261" spans="2:9">
      <c r="B261" t="s">
        <v>586</v>
      </c>
      <c r="C261" s="2" t="s">
        <v>250</v>
      </c>
      <c r="E261">
        <v>48324.635000000002</v>
      </c>
      <c r="G261">
        <v>3.3000000000000002E-2</v>
      </c>
      <c r="H261">
        <v>1.73</v>
      </c>
      <c r="I261" t="s">
        <v>662</v>
      </c>
    </row>
    <row r="262" spans="2:9">
      <c r="B262" t="s">
        <v>586</v>
      </c>
      <c r="C262" s="2" t="s">
        <v>249</v>
      </c>
      <c r="E262">
        <v>48373.137000000002</v>
      </c>
      <c r="G262">
        <v>2.5999999999999999E-2</v>
      </c>
      <c r="H262">
        <v>1.6</v>
      </c>
      <c r="I262" t="s">
        <v>662</v>
      </c>
    </row>
    <row r="263" spans="2:9">
      <c r="B263" t="s">
        <v>291</v>
      </c>
      <c r="C263" s="2" t="s">
        <v>661</v>
      </c>
      <c r="E263">
        <v>48345.883999999998</v>
      </c>
      <c r="G263">
        <v>1.6E-2</v>
      </c>
      <c r="I263" t="s">
        <v>662</v>
      </c>
    </row>
    <row r="264" spans="2:9">
      <c r="B264" t="s">
        <v>291</v>
      </c>
      <c r="C264" s="2" t="s">
        <v>661</v>
      </c>
      <c r="E264">
        <v>48362.385000000002</v>
      </c>
      <c r="G264">
        <v>1.2E-2</v>
      </c>
      <c r="I264" t="s">
        <v>662</v>
      </c>
    </row>
    <row r="265" spans="2:9">
      <c r="B265" t="s">
        <v>291</v>
      </c>
      <c r="C265" s="2" t="s">
        <v>661</v>
      </c>
      <c r="E265">
        <v>48380.661999999997</v>
      </c>
      <c r="G265">
        <v>0.01</v>
      </c>
      <c r="I265" t="s">
        <v>662</v>
      </c>
    </row>
    <row r="266" spans="2:9">
      <c r="B266" t="s">
        <v>291</v>
      </c>
      <c r="C266" s="2" t="s">
        <v>661</v>
      </c>
      <c r="E266">
        <v>48396.815000000002</v>
      </c>
      <c r="G266">
        <v>1.0999999999999999E-2</v>
      </c>
      <c r="I266" t="s">
        <v>662</v>
      </c>
    </row>
    <row r="267" spans="2:9">
      <c r="B267" t="s">
        <v>291</v>
      </c>
      <c r="C267" s="2" t="s">
        <v>661</v>
      </c>
      <c r="E267">
        <v>48401.014000000003</v>
      </c>
      <c r="G267">
        <v>1.0999999999999999E-2</v>
      </c>
      <c r="I267" t="s">
        <v>662</v>
      </c>
    </row>
    <row r="268" spans="2:9">
      <c r="B268" t="s">
        <v>291</v>
      </c>
      <c r="C268" s="2" t="s">
        <v>250</v>
      </c>
      <c r="E268">
        <v>48432.453999999998</v>
      </c>
      <c r="G268">
        <v>1.4999999999999999E-2</v>
      </c>
      <c r="I268" t="s">
        <v>662</v>
      </c>
    </row>
    <row r="269" spans="2:9">
      <c r="B269" t="s">
        <v>291</v>
      </c>
      <c r="C269" s="2" t="s">
        <v>661</v>
      </c>
      <c r="E269">
        <v>48458.36</v>
      </c>
      <c r="G269">
        <v>1.6E-2</v>
      </c>
      <c r="I269" t="s">
        <v>662</v>
      </c>
    </row>
    <row r="270" spans="2:9">
      <c r="B270" t="s">
        <v>291</v>
      </c>
      <c r="C270" s="2" t="s">
        <v>250</v>
      </c>
      <c r="E270">
        <v>48465.087</v>
      </c>
      <c r="G270">
        <v>1.7000000000000001E-2</v>
      </c>
      <c r="I270" t="s">
        <v>662</v>
      </c>
    </row>
    <row r="271" spans="2:9">
      <c r="B271" t="s">
        <v>291</v>
      </c>
      <c r="C271" s="2" t="s">
        <v>661</v>
      </c>
      <c r="E271">
        <v>48489.027000000002</v>
      </c>
      <c r="G271">
        <v>1.6E-2</v>
      </c>
      <c r="I271" t="s">
        <v>662</v>
      </c>
    </row>
    <row r="272" spans="2:9">
      <c r="B272" t="s">
        <v>291</v>
      </c>
      <c r="C272" s="2" t="s">
        <v>661</v>
      </c>
      <c r="E272">
        <v>48551.877</v>
      </c>
      <c r="G272">
        <v>1.2999999999999999E-2</v>
      </c>
      <c r="I272" t="s">
        <v>662</v>
      </c>
    </row>
    <row r="273" spans="2:9">
      <c r="B273" t="s">
        <v>291</v>
      </c>
      <c r="C273" s="2" t="s">
        <v>661</v>
      </c>
      <c r="E273">
        <v>48561.607000000004</v>
      </c>
      <c r="G273">
        <v>1.2999999999999999E-2</v>
      </c>
      <c r="I273" t="s">
        <v>662</v>
      </c>
    </row>
    <row r="274" spans="2:9">
      <c r="B274" t="s">
        <v>291</v>
      </c>
      <c r="C274" s="2" t="s">
        <v>661</v>
      </c>
      <c r="E274">
        <v>48563.428999999996</v>
      </c>
      <c r="G274">
        <v>0.01</v>
      </c>
      <c r="I274" t="s">
        <v>662</v>
      </c>
    </row>
    <row r="275" spans="2:9">
      <c r="B275" t="s">
        <v>291</v>
      </c>
      <c r="C275" s="2" t="s">
        <v>661</v>
      </c>
      <c r="E275">
        <v>48582.141000000003</v>
      </c>
      <c r="G275">
        <v>1.2E-2</v>
      </c>
      <c r="I275" t="s">
        <v>662</v>
      </c>
    </row>
    <row r="276" spans="2:9">
      <c r="B276" t="s">
        <v>291</v>
      </c>
      <c r="C276" s="2" t="s">
        <v>661</v>
      </c>
      <c r="E276">
        <v>48598.061999999998</v>
      </c>
      <c r="G276">
        <v>1.2E-2</v>
      </c>
      <c r="I276" t="s">
        <v>662</v>
      </c>
    </row>
    <row r="277" spans="2:9">
      <c r="B277" t="s">
        <v>586</v>
      </c>
      <c r="C277" s="2" t="s">
        <v>248</v>
      </c>
      <c r="E277">
        <v>48830.09</v>
      </c>
      <c r="G277">
        <v>0.03</v>
      </c>
      <c r="H277">
        <v>2.64</v>
      </c>
      <c r="I277" t="s">
        <v>662</v>
      </c>
    </row>
    <row r="278" spans="2:9">
      <c r="B278" t="s">
        <v>586</v>
      </c>
      <c r="C278" s="2" t="s">
        <v>250</v>
      </c>
      <c r="E278">
        <v>48869.527000000002</v>
      </c>
      <c r="G278">
        <v>2.1000000000000001E-2</v>
      </c>
      <c r="H278">
        <v>1.73</v>
      </c>
      <c r="I278" t="s">
        <v>662</v>
      </c>
    </row>
    <row r="279" spans="2:9">
      <c r="B279" t="s">
        <v>586</v>
      </c>
      <c r="C279" s="2" t="s">
        <v>249</v>
      </c>
      <c r="E279">
        <v>48920.561999999998</v>
      </c>
      <c r="G279">
        <v>0.03</v>
      </c>
      <c r="H279">
        <v>1.59</v>
      </c>
      <c r="I279" t="s">
        <v>662</v>
      </c>
    </row>
    <row r="280" spans="2:9">
      <c r="B280" t="s">
        <v>291</v>
      </c>
      <c r="C280" s="2" t="s">
        <v>661</v>
      </c>
      <c r="E280">
        <v>48850.080999999998</v>
      </c>
      <c r="G280">
        <v>1.4999999999999999E-2</v>
      </c>
      <c r="I280" t="s">
        <v>662</v>
      </c>
    </row>
    <row r="281" spans="2:9">
      <c r="B281" t="s">
        <v>291</v>
      </c>
      <c r="C281" s="2" t="s">
        <v>661</v>
      </c>
      <c r="E281">
        <v>48903.322999999997</v>
      </c>
      <c r="G281">
        <v>1.2E-2</v>
      </c>
      <c r="I281" t="s">
        <v>662</v>
      </c>
    </row>
    <row r="282" spans="2:9">
      <c r="B282" t="s">
        <v>291</v>
      </c>
      <c r="C282" s="2" t="s">
        <v>249</v>
      </c>
      <c r="E282">
        <v>48941.837</v>
      </c>
      <c r="G282">
        <v>1.2999999999999999E-2</v>
      </c>
      <c r="I282" t="s">
        <v>662</v>
      </c>
    </row>
    <row r="283" spans="2:9">
      <c r="B283" t="s">
        <v>291</v>
      </c>
      <c r="C283" s="2" t="s">
        <v>661</v>
      </c>
      <c r="E283">
        <v>49180.250999999997</v>
      </c>
      <c r="G283">
        <v>1.2E-2</v>
      </c>
      <c r="I283" t="s">
        <v>662</v>
      </c>
    </row>
    <row r="284" spans="2:9">
      <c r="B284" t="s">
        <v>291</v>
      </c>
      <c r="C284" s="2" t="s">
        <v>661</v>
      </c>
      <c r="E284">
        <v>49833.368000000002</v>
      </c>
      <c r="G284">
        <v>1.4E-2</v>
      </c>
      <c r="I284" t="s">
        <v>662</v>
      </c>
    </row>
    <row r="285" spans="2:9">
      <c r="B285" t="s">
        <v>291</v>
      </c>
      <c r="C285" s="2" t="s">
        <v>661</v>
      </c>
      <c r="E285">
        <v>49879.745000000003</v>
      </c>
      <c r="G285">
        <v>1.7000000000000001E-2</v>
      </c>
      <c r="I285" t="s">
        <v>662</v>
      </c>
    </row>
    <row r="286" spans="2:9">
      <c r="B286" t="s">
        <v>291</v>
      </c>
      <c r="C286" s="2" t="s">
        <v>661</v>
      </c>
      <c r="E286">
        <v>49938.298999999999</v>
      </c>
      <c r="G286">
        <v>1.4E-2</v>
      </c>
      <c r="I286" t="s">
        <v>662</v>
      </c>
    </row>
    <row r="287" spans="2:9">
      <c r="B287" t="s">
        <v>291</v>
      </c>
      <c r="C287" s="2" t="s">
        <v>661</v>
      </c>
      <c r="E287">
        <v>49948.34</v>
      </c>
      <c r="G287">
        <v>1.4999999999999999E-2</v>
      </c>
      <c r="I287" t="s">
        <v>662</v>
      </c>
    </row>
    <row r="288" spans="2:9">
      <c r="B288" t="s">
        <v>291</v>
      </c>
      <c r="C288" s="2" t="s">
        <v>661</v>
      </c>
      <c r="E288">
        <v>49980.046999999999</v>
      </c>
      <c r="G288">
        <v>1.2999999999999999E-2</v>
      </c>
      <c r="I288" t="s">
        <v>662</v>
      </c>
    </row>
    <row r="289" spans="1:9">
      <c r="B289" t="s">
        <v>291</v>
      </c>
      <c r="C289" s="2" t="s">
        <v>661</v>
      </c>
      <c r="E289">
        <v>49995.252999999997</v>
      </c>
      <c r="G289">
        <v>1.2999999999999999E-2</v>
      </c>
      <c r="I289" t="s">
        <v>662</v>
      </c>
    </row>
    <row r="290" spans="1:9">
      <c r="B290" t="s">
        <v>291</v>
      </c>
      <c r="C290" s="2" t="s">
        <v>661</v>
      </c>
      <c r="E290">
        <v>50009.544999999998</v>
      </c>
      <c r="G290">
        <v>1.2E-2</v>
      </c>
      <c r="I290" t="s">
        <v>662</v>
      </c>
    </row>
    <row r="291" spans="1:9">
      <c r="B291" t="s">
        <v>291</v>
      </c>
      <c r="C291" s="2" t="s">
        <v>661</v>
      </c>
      <c r="E291">
        <v>50042.733999999997</v>
      </c>
      <c r="G291">
        <v>1.6E-2</v>
      </c>
      <c r="I291" t="s">
        <v>662</v>
      </c>
    </row>
    <row r="292" spans="1:9">
      <c r="B292" t="s">
        <v>291</v>
      </c>
      <c r="C292" s="2" t="s">
        <v>661</v>
      </c>
      <c r="E292">
        <v>50069.963000000003</v>
      </c>
      <c r="G292">
        <v>1.2999999999999999E-2</v>
      </c>
      <c r="I292" t="s">
        <v>662</v>
      </c>
    </row>
    <row r="293" spans="1:9">
      <c r="B293" t="s">
        <v>291</v>
      </c>
      <c r="C293" s="2" t="s">
        <v>661</v>
      </c>
      <c r="E293">
        <v>50630.792999999998</v>
      </c>
      <c r="G293">
        <v>1.4999999999999999E-2</v>
      </c>
      <c r="I293" t="s">
        <v>662</v>
      </c>
    </row>
    <row r="294" spans="1:9">
      <c r="B294" t="s">
        <v>291</v>
      </c>
      <c r="C294" s="2" t="s">
        <v>661</v>
      </c>
      <c r="E294">
        <v>50772.633999999998</v>
      </c>
      <c r="G294">
        <v>1.7000000000000001E-2</v>
      </c>
      <c r="I294" t="s">
        <v>662</v>
      </c>
    </row>
    <row r="295" spans="1:9">
      <c r="B295" t="s">
        <v>291</v>
      </c>
      <c r="C295" s="2" t="s">
        <v>661</v>
      </c>
      <c r="E295">
        <v>50788.114000000001</v>
      </c>
      <c r="G295">
        <v>1.4999999999999999E-2</v>
      </c>
      <c r="I295" t="s">
        <v>662</v>
      </c>
    </row>
    <row r="296" spans="1:9">
      <c r="B296" t="s">
        <v>291</v>
      </c>
      <c r="C296" s="2" t="s">
        <v>661</v>
      </c>
      <c r="E296">
        <v>50842.993999999999</v>
      </c>
      <c r="G296">
        <v>1.2999999999999999E-2</v>
      </c>
      <c r="I296" t="s">
        <v>662</v>
      </c>
    </row>
    <row r="297" spans="1:9">
      <c r="B297" t="s">
        <v>291</v>
      </c>
      <c r="C297" s="2" t="s">
        <v>661</v>
      </c>
      <c r="E297">
        <v>50845.61</v>
      </c>
      <c r="G297">
        <v>1.2999999999999999E-2</v>
      </c>
      <c r="I297" t="s">
        <v>662</v>
      </c>
    </row>
    <row r="298" spans="1:9">
      <c r="B298" t="s">
        <v>291</v>
      </c>
      <c r="C298" s="2" t="s">
        <v>661</v>
      </c>
      <c r="E298">
        <v>50903.923999999999</v>
      </c>
      <c r="G298">
        <v>1.2999999999999999E-2</v>
      </c>
      <c r="I298" t="s">
        <v>662</v>
      </c>
    </row>
    <row r="299" spans="1:9">
      <c r="B299" t="s">
        <v>291</v>
      </c>
      <c r="C299" s="2" t="s">
        <v>661</v>
      </c>
      <c r="E299">
        <v>50958.438999999998</v>
      </c>
      <c r="G299">
        <v>1.2999999999999999E-2</v>
      </c>
      <c r="I299" t="s">
        <v>662</v>
      </c>
    </row>
    <row r="300" spans="1:9">
      <c r="B300" t="s">
        <v>291</v>
      </c>
      <c r="C300" s="2" t="s">
        <v>250</v>
      </c>
      <c r="E300">
        <v>50968.758000000002</v>
      </c>
      <c r="G300">
        <v>1.4E-2</v>
      </c>
      <c r="I300" t="s">
        <v>662</v>
      </c>
    </row>
    <row r="301" spans="1:9">
      <c r="B301" t="s">
        <v>291</v>
      </c>
      <c r="C301" s="2" t="s">
        <v>661</v>
      </c>
      <c r="E301">
        <v>50984.892999999996</v>
      </c>
      <c r="G301">
        <v>1.4E-2</v>
      </c>
      <c r="I301" t="s">
        <v>662</v>
      </c>
    </row>
    <row r="302" spans="1:9">
      <c r="B302" t="s">
        <v>291</v>
      </c>
      <c r="C302" s="2" t="s">
        <v>661</v>
      </c>
      <c r="E302">
        <v>50989.294999999998</v>
      </c>
      <c r="G302">
        <v>1.7999999999999999E-2</v>
      </c>
      <c r="I302" t="s">
        <v>662</v>
      </c>
    </row>
    <row r="303" spans="1:9">
      <c r="A303" t="s">
        <v>724</v>
      </c>
      <c r="B303" t="s">
        <v>211</v>
      </c>
      <c r="C303" s="2" t="s">
        <v>250</v>
      </c>
      <c r="E303">
        <v>51110.61</v>
      </c>
      <c r="G303">
        <v>1.2999999999999999E-2</v>
      </c>
      <c r="I303" t="s">
        <v>662</v>
      </c>
    </row>
    <row r="304" spans="1:9">
      <c r="B304" t="s">
        <v>291</v>
      </c>
      <c r="C304" s="2" t="s">
        <v>250</v>
      </c>
      <c r="E304">
        <v>51174.213000000003</v>
      </c>
      <c r="G304">
        <v>1.7000000000000001E-2</v>
      </c>
      <c r="I304" t="s">
        <v>662</v>
      </c>
    </row>
    <row r="305" spans="2:9">
      <c r="B305" t="s">
        <v>291</v>
      </c>
      <c r="C305" s="2" t="s">
        <v>661</v>
      </c>
      <c r="E305">
        <v>51199.800999999999</v>
      </c>
      <c r="G305">
        <v>1.2999999999999999E-2</v>
      </c>
      <c r="I305" t="s">
        <v>662</v>
      </c>
    </row>
    <row r="306" spans="2:9">
      <c r="B306" t="s">
        <v>291</v>
      </c>
      <c r="C306" s="2" t="s">
        <v>661</v>
      </c>
      <c r="E306">
        <v>51206.485000000001</v>
      </c>
      <c r="G306">
        <v>1.4E-2</v>
      </c>
      <c r="I306" t="s">
        <v>662</v>
      </c>
    </row>
    <row r="307" spans="2:9">
      <c r="B307" t="s">
        <v>291</v>
      </c>
      <c r="C307" s="2" t="s">
        <v>661</v>
      </c>
      <c r="E307">
        <v>51235.112999999998</v>
      </c>
      <c r="G307">
        <v>1.2999999999999999E-2</v>
      </c>
      <c r="I307" t="s">
        <v>662</v>
      </c>
    </row>
    <row r="308" spans="2:9">
      <c r="B308" t="s">
        <v>291</v>
      </c>
      <c r="C308" s="2" t="s">
        <v>661</v>
      </c>
      <c r="E308">
        <v>51251.894</v>
      </c>
      <c r="G308">
        <v>1.6E-2</v>
      </c>
      <c r="I308" t="s">
        <v>662</v>
      </c>
    </row>
    <row r="309" spans="2:9">
      <c r="B309" t="s">
        <v>291</v>
      </c>
      <c r="C309" s="2" t="s">
        <v>661</v>
      </c>
      <c r="E309">
        <v>51259.218999999997</v>
      </c>
      <c r="G309">
        <v>1.4E-2</v>
      </c>
      <c r="I309" t="s">
        <v>662</v>
      </c>
    </row>
    <row r="310" spans="2:9">
      <c r="B310" t="s">
        <v>291</v>
      </c>
      <c r="C310" s="2" t="s">
        <v>661</v>
      </c>
      <c r="E310">
        <v>51316.218000000001</v>
      </c>
      <c r="G310">
        <v>1.4E-2</v>
      </c>
      <c r="I310" t="s">
        <v>662</v>
      </c>
    </row>
    <row r="311" spans="2:9">
      <c r="B311" t="s">
        <v>291</v>
      </c>
      <c r="C311" s="2" t="s">
        <v>661</v>
      </c>
      <c r="E311">
        <v>51326.158000000003</v>
      </c>
      <c r="G311">
        <v>1.6E-2</v>
      </c>
      <c r="I311" t="s">
        <v>662</v>
      </c>
    </row>
    <row r="312" spans="2:9">
      <c r="B312" t="s">
        <v>291</v>
      </c>
      <c r="C312" s="2" t="s">
        <v>661</v>
      </c>
      <c r="E312">
        <v>51343.853999999999</v>
      </c>
      <c r="G312">
        <v>1.6E-2</v>
      </c>
      <c r="I312" t="s">
        <v>662</v>
      </c>
    </row>
    <row r="313" spans="2:9">
      <c r="B313" t="s">
        <v>291</v>
      </c>
      <c r="C313" s="2" t="s">
        <v>661</v>
      </c>
      <c r="E313">
        <v>51533.584999999999</v>
      </c>
      <c r="G313">
        <v>1.4E-2</v>
      </c>
      <c r="I313" t="s">
        <v>662</v>
      </c>
    </row>
    <row r="314" spans="2:9">
      <c r="B314" t="s">
        <v>291</v>
      </c>
      <c r="C314" s="2" t="s">
        <v>661</v>
      </c>
      <c r="E314">
        <v>51540.059000000001</v>
      </c>
      <c r="G314">
        <v>1.4E-2</v>
      </c>
      <c r="I314" t="s">
        <v>662</v>
      </c>
    </row>
    <row r="315" spans="2:9">
      <c r="B315" t="s">
        <v>291</v>
      </c>
      <c r="C315" s="2" t="s">
        <v>661</v>
      </c>
      <c r="E315">
        <v>51563.877999999997</v>
      </c>
      <c r="G315">
        <v>1.4E-2</v>
      </c>
      <c r="I315" t="s">
        <v>662</v>
      </c>
    </row>
    <row r="316" spans="2:9">
      <c r="B316" t="s">
        <v>291</v>
      </c>
      <c r="C316" s="2" t="s">
        <v>661</v>
      </c>
      <c r="E316">
        <v>51581.868999999999</v>
      </c>
      <c r="G316">
        <v>1.4E-2</v>
      </c>
      <c r="I316" t="s">
        <v>662</v>
      </c>
    </row>
    <row r="317" spans="2:9">
      <c r="B317" t="s">
        <v>291</v>
      </c>
      <c r="C317" s="2" t="s">
        <v>661</v>
      </c>
      <c r="E317">
        <v>51586.49</v>
      </c>
      <c r="G317">
        <v>1.4999999999999999E-2</v>
      </c>
      <c r="I317" t="s">
        <v>662</v>
      </c>
    </row>
    <row r="318" spans="2:9">
      <c r="B318" t="s">
        <v>291</v>
      </c>
      <c r="C318" s="2" t="s">
        <v>661</v>
      </c>
      <c r="E318">
        <v>51610.243999999999</v>
      </c>
      <c r="G318">
        <v>1.4E-2</v>
      </c>
      <c r="I318" t="s">
        <v>662</v>
      </c>
    </row>
    <row r="319" spans="2:9">
      <c r="B319" t="s">
        <v>291</v>
      </c>
      <c r="C319" s="2" t="s">
        <v>661</v>
      </c>
      <c r="E319">
        <v>51641.91</v>
      </c>
      <c r="G319">
        <v>1.2999999999999999E-2</v>
      </c>
      <c r="I319" t="s">
        <v>662</v>
      </c>
    </row>
    <row r="320" spans="2:9">
      <c r="B320" t="s">
        <v>291</v>
      </c>
      <c r="C320" s="2" t="s">
        <v>661</v>
      </c>
      <c r="E320">
        <v>51646.633999999998</v>
      </c>
      <c r="G320">
        <v>1.6E-2</v>
      </c>
      <c r="I320" t="s">
        <v>662</v>
      </c>
    </row>
    <row r="321" spans="2:9">
      <c r="B321" t="s">
        <v>291</v>
      </c>
      <c r="C321" s="2" t="s">
        <v>661</v>
      </c>
      <c r="E321">
        <v>51657.409</v>
      </c>
      <c r="G321">
        <v>1.7999999999999999E-2</v>
      </c>
      <c r="I321" t="s">
        <v>662</v>
      </c>
    </row>
    <row r="322" spans="2:9">
      <c r="B322" t="s">
        <v>291</v>
      </c>
      <c r="C322" s="2" t="s">
        <v>661</v>
      </c>
      <c r="E322">
        <v>51659.497000000003</v>
      </c>
      <c r="G322">
        <v>1.4E-2</v>
      </c>
      <c r="I322" t="s">
        <v>662</v>
      </c>
    </row>
    <row r="323" spans="2:9">
      <c r="B323" t="s">
        <v>291</v>
      </c>
      <c r="C323" s="2" t="s">
        <v>661</v>
      </c>
      <c r="E323">
        <v>51757.387999999999</v>
      </c>
      <c r="G323">
        <v>1.4999999999999999E-2</v>
      </c>
      <c r="I323" t="s">
        <v>662</v>
      </c>
    </row>
    <row r="324" spans="2:9">
      <c r="B324" t="s">
        <v>291</v>
      </c>
      <c r="C324" s="2" t="s">
        <v>249</v>
      </c>
      <c r="E324">
        <v>51786.792000000001</v>
      </c>
      <c r="G324">
        <v>1.7000000000000001E-2</v>
      </c>
      <c r="I324" t="s">
        <v>662</v>
      </c>
    </row>
    <row r="325" spans="2:9">
      <c r="B325" t="s">
        <v>291</v>
      </c>
      <c r="C325" s="2" t="s">
        <v>661</v>
      </c>
      <c r="E325">
        <v>51824.97</v>
      </c>
      <c r="G325">
        <v>1.2999999999999999E-2</v>
      </c>
      <c r="I325" t="s">
        <v>662</v>
      </c>
    </row>
    <row r="326" spans="2:9">
      <c r="B326" t="s">
        <v>291</v>
      </c>
      <c r="C326" s="2" t="s">
        <v>661</v>
      </c>
      <c r="E326">
        <v>51870.682000000001</v>
      </c>
      <c r="G326">
        <v>1.4E-2</v>
      </c>
      <c r="I326" t="s">
        <v>662</v>
      </c>
    </row>
    <row r="327" spans="2:9">
      <c r="B327" t="s">
        <v>291</v>
      </c>
      <c r="C327" s="2" t="s">
        <v>661</v>
      </c>
      <c r="E327">
        <v>52088.777999999998</v>
      </c>
      <c r="G327">
        <v>1.4E-2</v>
      </c>
      <c r="I327" t="s">
        <v>662</v>
      </c>
    </row>
    <row r="328" spans="2:9">
      <c r="B328" t="s">
        <v>291</v>
      </c>
      <c r="C328" s="2" t="s">
        <v>661</v>
      </c>
      <c r="E328">
        <v>52113.339</v>
      </c>
      <c r="G328">
        <v>1.4E-2</v>
      </c>
      <c r="I328" t="s">
        <v>662</v>
      </c>
    </row>
    <row r="329" spans="2:9">
      <c r="B329" t="s">
        <v>291</v>
      </c>
      <c r="C329" s="2" t="s">
        <v>249</v>
      </c>
      <c r="E329">
        <v>52415.887000000002</v>
      </c>
      <c r="G329">
        <v>1.7999999999999999E-2</v>
      </c>
      <c r="I329" t="s">
        <v>662</v>
      </c>
    </row>
    <row r="330" spans="2:9">
      <c r="B330" t="s">
        <v>291</v>
      </c>
      <c r="C330" s="2" t="s">
        <v>661</v>
      </c>
      <c r="E330">
        <v>52430.309000000001</v>
      </c>
      <c r="G330">
        <v>1.4E-2</v>
      </c>
      <c r="I330" t="s">
        <v>662</v>
      </c>
    </row>
    <row r="331" spans="2:9">
      <c r="B331" t="s">
        <v>291</v>
      </c>
      <c r="C331" s="2" t="s">
        <v>661</v>
      </c>
      <c r="E331">
        <v>52486.73</v>
      </c>
      <c r="G331">
        <v>1.6E-2</v>
      </c>
      <c r="I331" t="s">
        <v>662</v>
      </c>
    </row>
    <row r="332" spans="2:9">
      <c r="B332" t="s">
        <v>291</v>
      </c>
      <c r="C332" s="2" t="s">
        <v>249</v>
      </c>
      <c r="E332">
        <v>52509.048000000003</v>
      </c>
      <c r="G332">
        <v>1.7000000000000001E-2</v>
      </c>
      <c r="I332" t="s">
        <v>662</v>
      </c>
    </row>
    <row r="333" spans="2:9">
      <c r="B333" t="s">
        <v>291</v>
      </c>
      <c r="C333" s="2" t="s">
        <v>249</v>
      </c>
      <c r="E333">
        <v>52593.521000000001</v>
      </c>
      <c r="G333">
        <v>1.6E-2</v>
      </c>
      <c r="I333" t="s">
        <v>662</v>
      </c>
    </row>
    <row r="334" spans="2:9">
      <c r="B334" t="s">
        <v>291</v>
      </c>
      <c r="C334" s="2" t="s">
        <v>661</v>
      </c>
      <c r="E334">
        <v>52700.218000000001</v>
      </c>
      <c r="G334">
        <v>1.4E-2</v>
      </c>
      <c r="I334" t="s">
        <v>662</v>
      </c>
    </row>
    <row r="335" spans="2:9">
      <c r="B335" t="s">
        <v>291</v>
      </c>
      <c r="C335" s="2" t="s">
        <v>661</v>
      </c>
      <c r="E335">
        <v>52747.684000000001</v>
      </c>
      <c r="G335">
        <v>1.4E-2</v>
      </c>
      <c r="I335" t="s">
        <v>662</v>
      </c>
    </row>
    <row r="336" spans="2:9">
      <c r="B336" t="s">
        <v>291</v>
      </c>
      <c r="C336" s="2" t="s">
        <v>661</v>
      </c>
      <c r="E336">
        <v>52784.603000000003</v>
      </c>
      <c r="G336">
        <v>1.4E-2</v>
      </c>
      <c r="I336" t="s">
        <v>662</v>
      </c>
    </row>
    <row r="337" spans="1:10">
      <c r="B337" t="s">
        <v>291</v>
      </c>
      <c r="C337" s="2" t="s">
        <v>661</v>
      </c>
      <c r="E337">
        <v>52808.39</v>
      </c>
      <c r="G337">
        <v>1.6E-2</v>
      </c>
      <c r="I337" t="s">
        <v>662</v>
      </c>
    </row>
    <row r="338" spans="1:10">
      <c r="B338" t="s">
        <v>291</v>
      </c>
      <c r="C338" s="2" t="s">
        <v>661</v>
      </c>
      <c r="E338">
        <v>52856.247000000003</v>
      </c>
      <c r="G338">
        <v>1.4E-2</v>
      </c>
      <c r="I338" t="s">
        <v>662</v>
      </c>
    </row>
    <row r="339" spans="1:10">
      <c r="A339" t="s">
        <v>725</v>
      </c>
      <c r="B339" t="s">
        <v>202</v>
      </c>
      <c r="C339" s="2" t="s">
        <v>203</v>
      </c>
      <c r="E339">
        <v>52922</v>
      </c>
      <c r="G339">
        <v>0.5</v>
      </c>
      <c r="I339" t="s">
        <v>662</v>
      </c>
      <c r="J339" t="s">
        <v>726</v>
      </c>
    </row>
    <row r="340" spans="1:10">
      <c r="A340" t="s">
        <v>727</v>
      </c>
      <c r="B340" t="s">
        <v>218</v>
      </c>
      <c r="C340" s="2" t="s">
        <v>250</v>
      </c>
      <c r="E340">
        <v>53162.8</v>
      </c>
      <c r="G340">
        <v>0.3</v>
      </c>
      <c r="I340" t="s">
        <v>662</v>
      </c>
    </row>
    <row r="341" spans="1:10">
      <c r="A341" t="s">
        <v>727</v>
      </c>
      <c r="B341" t="s">
        <v>218</v>
      </c>
      <c r="C341" s="2" t="s">
        <v>249</v>
      </c>
      <c r="E341">
        <v>53162.8</v>
      </c>
      <c r="G341">
        <v>0.3</v>
      </c>
      <c r="I341" t="s">
        <v>662</v>
      </c>
    </row>
    <row r="342" spans="1:10">
      <c r="A342" t="s">
        <v>727</v>
      </c>
      <c r="B342" t="s">
        <v>211</v>
      </c>
      <c r="C342" s="2" t="s">
        <v>250</v>
      </c>
      <c r="E342">
        <v>53223</v>
      </c>
      <c r="G342">
        <v>0.6</v>
      </c>
      <c r="I342" t="s">
        <v>662</v>
      </c>
    </row>
    <row r="343" spans="1:10">
      <c r="A343" t="s">
        <v>728</v>
      </c>
      <c r="B343" t="s">
        <v>219</v>
      </c>
      <c r="C343" s="2" t="s">
        <v>249</v>
      </c>
      <c r="E343">
        <v>53692.7</v>
      </c>
      <c r="G343">
        <v>0.4</v>
      </c>
      <c r="I343" t="s">
        <v>662</v>
      </c>
    </row>
    <row r="344" spans="1:10">
      <c r="A344" t="s">
        <v>728</v>
      </c>
      <c r="B344" t="s">
        <v>219</v>
      </c>
      <c r="C344" s="2" t="s">
        <v>251</v>
      </c>
      <c r="E344">
        <v>53692.7</v>
      </c>
      <c r="G344">
        <v>0.4</v>
      </c>
      <c r="I344" t="s">
        <v>662</v>
      </c>
    </row>
    <row r="345" spans="1:10">
      <c r="A345" t="s">
        <v>729</v>
      </c>
      <c r="B345" t="s">
        <v>218</v>
      </c>
      <c r="C345" s="2" t="s">
        <v>249</v>
      </c>
      <c r="E345">
        <v>53706.400000000001</v>
      </c>
      <c r="G345">
        <v>0.5</v>
      </c>
      <c r="I345" t="s">
        <v>662</v>
      </c>
    </row>
    <row r="346" spans="1:10">
      <c r="A346" t="s">
        <v>729</v>
      </c>
      <c r="B346" t="s">
        <v>218</v>
      </c>
      <c r="C346" s="2" t="s">
        <v>250</v>
      </c>
      <c r="E346">
        <v>53706.400000000001</v>
      </c>
      <c r="G346">
        <v>0.5</v>
      </c>
      <c r="I346" t="s">
        <v>662</v>
      </c>
    </row>
    <row r="347" spans="1:10">
      <c r="A347" t="s">
        <v>729</v>
      </c>
      <c r="B347" t="s">
        <v>211</v>
      </c>
      <c r="C347" s="2" t="s">
        <v>250</v>
      </c>
      <c r="E347">
        <v>53784</v>
      </c>
      <c r="G347">
        <v>3</v>
      </c>
      <c r="I347" t="s">
        <v>662</v>
      </c>
    </row>
    <row r="348" spans="1:10">
      <c r="A348" t="s">
        <v>730</v>
      </c>
      <c r="B348" t="s">
        <v>218</v>
      </c>
      <c r="C348" s="2" t="s">
        <v>250</v>
      </c>
      <c r="E348">
        <v>54080.1</v>
      </c>
      <c r="G348">
        <v>0.5</v>
      </c>
      <c r="I348" t="s">
        <v>662</v>
      </c>
    </row>
    <row r="349" spans="1:10">
      <c r="A349" t="s">
        <v>730</v>
      </c>
      <c r="B349" t="s">
        <v>218</v>
      </c>
      <c r="C349" s="2" t="s">
        <v>249</v>
      </c>
      <c r="E349">
        <v>54080.1</v>
      </c>
      <c r="G349">
        <v>0.5</v>
      </c>
      <c r="I349" t="s">
        <v>662</v>
      </c>
    </row>
    <row r="350" spans="1:10">
      <c r="A350" t="s">
        <v>730</v>
      </c>
      <c r="B350" t="s">
        <v>211</v>
      </c>
      <c r="C350" s="2" t="s">
        <v>250</v>
      </c>
      <c r="E350">
        <v>54111.9</v>
      </c>
      <c r="G350">
        <v>0.6</v>
      </c>
      <c r="I350" t="s">
        <v>662</v>
      </c>
    </row>
    <row r="351" spans="1:10">
      <c r="A351" t="s">
        <v>731</v>
      </c>
      <c r="B351" t="s">
        <v>218</v>
      </c>
      <c r="C351" s="2" t="s">
        <v>250</v>
      </c>
      <c r="E351">
        <v>54343.7</v>
      </c>
      <c r="G351">
        <v>0.3</v>
      </c>
      <c r="I351" t="s">
        <v>662</v>
      </c>
    </row>
    <row r="352" spans="1:10">
      <c r="A352" t="s">
        <v>731</v>
      </c>
      <c r="B352" t="s">
        <v>218</v>
      </c>
      <c r="C352" s="2" t="s">
        <v>249</v>
      </c>
      <c r="E352">
        <v>54343.7</v>
      </c>
      <c r="G352">
        <v>0.3</v>
      </c>
      <c r="I352" t="s">
        <v>662</v>
      </c>
    </row>
    <row r="353" spans="1:9">
      <c r="A353" t="s">
        <v>731</v>
      </c>
      <c r="B353" t="s">
        <v>211</v>
      </c>
      <c r="C353" s="2" t="s">
        <v>250</v>
      </c>
      <c r="E353">
        <v>54366.6</v>
      </c>
      <c r="G353">
        <v>1.1000000000000001</v>
      </c>
      <c r="I353" t="s">
        <v>662</v>
      </c>
    </row>
    <row r="354" spans="1:9">
      <c r="A354" t="s">
        <v>732</v>
      </c>
      <c r="B354" t="s">
        <v>218</v>
      </c>
      <c r="C354" s="2" t="s">
        <v>250</v>
      </c>
      <c r="E354">
        <v>54539.3</v>
      </c>
      <c r="G354">
        <v>0.3</v>
      </c>
      <c r="I354" t="s">
        <v>662</v>
      </c>
    </row>
    <row r="355" spans="1:9">
      <c r="A355" t="s">
        <v>732</v>
      </c>
      <c r="B355" t="s">
        <v>218</v>
      </c>
      <c r="C355" s="2" t="s">
        <v>249</v>
      </c>
      <c r="E355">
        <v>54539.3</v>
      </c>
      <c r="G355">
        <v>0.3</v>
      </c>
      <c r="I355" t="s">
        <v>662</v>
      </c>
    </row>
    <row r="356" spans="1:9">
      <c r="A356" t="s">
        <v>732</v>
      </c>
      <c r="B356" t="s">
        <v>211</v>
      </c>
      <c r="C356" s="2" t="s">
        <v>248</v>
      </c>
      <c r="E356">
        <v>54553.440000000002</v>
      </c>
      <c r="G356">
        <v>0.06</v>
      </c>
      <c r="I356" t="s">
        <v>662</v>
      </c>
    </row>
    <row r="357" spans="1:9">
      <c r="A357" t="s">
        <v>732</v>
      </c>
      <c r="B357" t="s">
        <v>211</v>
      </c>
      <c r="C357" s="2" t="s">
        <v>250</v>
      </c>
      <c r="E357">
        <v>54556.6</v>
      </c>
      <c r="G357">
        <v>0.5</v>
      </c>
      <c r="I357" t="s">
        <v>662</v>
      </c>
    </row>
    <row r="358" spans="1:9">
      <c r="A358" t="s">
        <v>733</v>
      </c>
      <c r="B358" t="s">
        <v>218</v>
      </c>
      <c r="C358" s="2" t="s">
        <v>249</v>
      </c>
      <c r="E358">
        <v>54687.7</v>
      </c>
      <c r="G358">
        <v>0.3</v>
      </c>
      <c r="I358" t="s">
        <v>662</v>
      </c>
    </row>
    <row r="359" spans="1:9">
      <c r="A359" t="s">
        <v>733</v>
      </c>
      <c r="B359" t="s">
        <v>218</v>
      </c>
      <c r="C359" s="2" t="s">
        <v>250</v>
      </c>
      <c r="E359">
        <v>54687.7</v>
      </c>
      <c r="G359">
        <v>0.3</v>
      </c>
      <c r="I359" t="s">
        <v>662</v>
      </c>
    </row>
    <row r="360" spans="1:9">
      <c r="A360" t="s">
        <v>733</v>
      </c>
      <c r="B360" t="s">
        <v>211</v>
      </c>
      <c r="C360" s="2" t="s">
        <v>250</v>
      </c>
      <c r="E360">
        <v>54712.1</v>
      </c>
      <c r="G360">
        <v>0.5</v>
      </c>
      <c r="I360" t="s">
        <v>662</v>
      </c>
    </row>
    <row r="361" spans="1:9">
      <c r="A361" t="s">
        <v>734</v>
      </c>
      <c r="B361" t="s">
        <v>218</v>
      </c>
      <c r="C361" s="2" t="s">
        <v>250</v>
      </c>
      <c r="E361">
        <v>54803.199999999997</v>
      </c>
      <c r="G361">
        <v>0.4</v>
      </c>
      <c r="I361" t="s">
        <v>662</v>
      </c>
    </row>
    <row r="362" spans="1:9">
      <c r="A362" t="s">
        <v>734</v>
      </c>
      <c r="B362" t="s">
        <v>218</v>
      </c>
      <c r="C362" s="2" t="s">
        <v>249</v>
      </c>
      <c r="E362">
        <v>54803.199999999997</v>
      </c>
      <c r="G362">
        <v>0.4</v>
      </c>
      <c r="I362" t="s">
        <v>662</v>
      </c>
    </row>
    <row r="363" spans="1:9">
      <c r="A363" t="s">
        <v>734</v>
      </c>
      <c r="B363" t="s">
        <v>211</v>
      </c>
      <c r="C363" s="2" t="s">
        <v>250</v>
      </c>
      <c r="E363">
        <v>54821.72</v>
      </c>
      <c r="G363">
        <v>0.06</v>
      </c>
      <c r="I363" t="s">
        <v>662</v>
      </c>
    </row>
    <row r="364" spans="1:9">
      <c r="A364" t="s">
        <v>735</v>
      </c>
      <c r="B364" t="s">
        <v>218</v>
      </c>
      <c r="C364" s="2" t="s">
        <v>250</v>
      </c>
      <c r="E364">
        <v>54895</v>
      </c>
      <c r="G364">
        <v>0.4</v>
      </c>
      <c r="I364" t="s">
        <v>662</v>
      </c>
    </row>
    <row r="365" spans="1:9">
      <c r="A365" t="s">
        <v>735</v>
      </c>
      <c r="B365" t="s">
        <v>218</v>
      </c>
      <c r="C365" s="2" t="s">
        <v>249</v>
      </c>
      <c r="E365">
        <v>54895</v>
      </c>
      <c r="G365">
        <v>0.4</v>
      </c>
      <c r="I365" t="s">
        <v>662</v>
      </c>
    </row>
    <row r="366" spans="1:9">
      <c r="A366" t="s">
        <v>736</v>
      </c>
      <c r="B366" t="s">
        <v>219</v>
      </c>
      <c r="C366" s="2" t="s">
        <v>249</v>
      </c>
      <c r="E366">
        <v>54903.6</v>
      </c>
      <c r="G366">
        <v>0.4</v>
      </c>
      <c r="I366" t="s">
        <v>662</v>
      </c>
    </row>
    <row r="367" spans="1:9">
      <c r="A367" t="s">
        <v>736</v>
      </c>
      <c r="B367" t="s">
        <v>219</v>
      </c>
      <c r="C367" s="2" t="s">
        <v>251</v>
      </c>
      <c r="E367">
        <v>54903.6</v>
      </c>
      <c r="G367">
        <v>0.4</v>
      </c>
      <c r="I367" t="s">
        <v>662</v>
      </c>
    </row>
    <row r="368" spans="1:9">
      <c r="A368" t="s">
        <v>735</v>
      </c>
      <c r="B368" t="s">
        <v>211</v>
      </c>
      <c r="C368" s="2" t="s">
        <v>248</v>
      </c>
      <c r="E368">
        <v>54906.1</v>
      </c>
      <c r="G368">
        <v>0.6</v>
      </c>
      <c r="I368" t="s">
        <v>662</v>
      </c>
    </row>
    <row r="369" spans="1:10">
      <c r="A369" t="s">
        <v>735</v>
      </c>
      <c r="B369" t="s">
        <v>211</v>
      </c>
      <c r="C369" s="2" t="s">
        <v>250</v>
      </c>
      <c r="E369">
        <v>54908.4</v>
      </c>
      <c r="G369">
        <v>0.4</v>
      </c>
      <c r="I369" t="s">
        <v>662</v>
      </c>
    </row>
    <row r="370" spans="1:10">
      <c r="A370" t="s">
        <v>737</v>
      </c>
      <c r="B370" t="s">
        <v>218</v>
      </c>
      <c r="C370" s="2" t="s">
        <v>249</v>
      </c>
      <c r="E370">
        <v>54971.199999999997</v>
      </c>
      <c r="G370">
        <v>0.5</v>
      </c>
      <c r="I370" t="s">
        <v>662</v>
      </c>
    </row>
    <row r="371" spans="1:10">
      <c r="A371" t="s">
        <v>737</v>
      </c>
      <c r="B371" t="s">
        <v>218</v>
      </c>
      <c r="C371" s="2" t="s">
        <v>250</v>
      </c>
      <c r="E371">
        <v>54971.199999999997</v>
      </c>
      <c r="G371">
        <v>0.5</v>
      </c>
      <c r="I371" t="s">
        <v>662</v>
      </c>
    </row>
    <row r="372" spans="1:10">
      <c r="A372" t="s">
        <v>737</v>
      </c>
      <c r="B372" t="s">
        <v>211</v>
      </c>
      <c r="C372" s="2" t="s">
        <v>250</v>
      </c>
      <c r="E372">
        <v>54980</v>
      </c>
      <c r="G372">
        <v>0.6</v>
      </c>
      <c r="I372" t="s">
        <v>662</v>
      </c>
      <c r="J372" t="s">
        <v>574</v>
      </c>
    </row>
    <row r="373" spans="1:10">
      <c r="A373" t="s">
        <v>738</v>
      </c>
      <c r="B373" t="s">
        <v>218</v>
      </c>
      <c r="C373" s="2" t="s">
        <v>250</v>
      </c>
      <c r="E373">
        <v>55030.7</v>
      </c>
      <c r="G373">
        <v>0.4</v>
      </c>
      <c r="I373" t="s">
        <v>662</v>
      </c>
    </row>
    <row r="374" spans="1:10">
      <c r="A374" t="s">
        <v>738</v>
      </c>
      <c r="B374" t="s">
        <v>218</v>
      </c>
      <c r="C374" s="2" t="s">
        <v>249</v>
      </c>
      <c r="E374">
        <v>55030.7</v>
      </c>
      <c r="G374">
        <v>0.4</v>
      </c>
      <c r="I374" t="s">
        <v>662</v>
      </c>
    </row>
    <row r="375" spans="1:10">
      <c r="A375" t="s">
        <v>738</v>
      </c>
      <c r="B375" t="s">
        <v>211</v>
      </c>
      <c r="C375" s="2" t="s">
        <v>248</v>
      </c>
      <c r="E375">
        <v>55036.4</v>
      </c>
      <c r="G375">
        <v>0.6</v>
      </c>
      <c r="I375" t="s">
        <v>662</v>
      </c>
    </row>
    <row r="376" spans="1:10">
      <c r="A376" t="s">
        <v>738</v>
      </c>
      <c r="B376" t="s">
        <v>211</v>
      </c>
      <c r="C376" s="2" t="s">
        <v>250</v>
      </c>
      <c r="E376">
        <v>55038.3</v>
      </c>
      <c r="G376">
        <v>0.5</v>
      </c>
      <c r="I376" t="s">
        <v>662</v>
      </c>
    </row>
    <row r="377" spans="1:10">
      <c r="A377" t="s">
        <v>739</v>
      </c>
      <c r="B377" t="s">
        <v>211</v>
      </c>
      <c r="C377" s="2" t="s">
        <v>248</v>
      </c>
      <c r="E377">
        <v>55084.3</v>
      </c>
      <c r="G377">
        <v>0.6</v>
      </c>
      <c r="I377" t="s">
        <v>662</v>
      </c>
    </row>
    <row r="378" spans="1:10">
      <c r="A378" t="s">
        <v>739</v>
      </c>
      <c r="B378" t="s">
        <v>211</v>
      </c>
      <c r="C378" s="2" t="s">
        <v>250</v>
      </c>
      <c r="E378">
        <v>55085.95</v>
      </c>
      <c r="G378">
        <v>0.06</v>
      </c>
      <c r="I378" t="s">
        <v>662</v>
      </c>
    </row>
    <row r="379" spans="1:10">
      <c r="A379" t="s">
        <v>740</v>
      </c>
      <c r="B379" t="s">
        <v>211</v>
      </c>
      <c r="C379" s="2" t="s">
        <v>248</v>
      </c>
      <c r="E379">
        <v>55125</v>
      </c>
      <c r="G379">
        <v>0.6</v>
      </c>
      <c r="I379" t="s">
        <v>662</v>
      </c>
    </row>
    <row r="380" spans="1:10">
      <c r="A380" t="s">
        <v>740</v>
      </c>
      <c r="B380" t="s">
        <v>211</v>
      </c>
      <c r="C380" s="2" t="s">
        <v>250</v>
      </c>
      <c r="E380">
        <v>55126.64</v>
      </c>
      <c r="G380">
        <v>0.06</v>
      </c>
      <c r="I380" t="s">
        <v>662</v>
      </c>
    </row>
    <row r="381" spans="1:10">
      <c r="A381" t="s">
        <v>741</v>
      </c>
      <c r="B381" t="s">
        <v>211</v>
      </c>
      <c r="C381" s="2" t="s">
        <v>248</v>
      </c>
      <c r="E381">
        <v>55159.18</v>
      </c>
      <c r="G381">
        <v>0.06</v>
      </c>
      <c r="I381" t="s">
        <v>662</v>
      </c>
    </row>
    <row r="382" spans="1:10">
      <c r="A382" t="s">
        <v>741</v>
      </c>
      <c r="B382" t="s">
        <v>211</v>
      </c>
      <c r="C382" s="2" t="s">
        <v>250</v>
      </c>
      <c r="E382">
        <v>55160.800000000003</v>
      </c>
      <c r="G382">
        <v>0.4</v>
      </c>
      <c r="I382" t="s">
        <v>662</v>
      </c>
    </row>
    <row r="383" spans="1:10">
      <c r="A383" t="s">
        <v>742</v>
      </c>
      <c r="B383" t="s">
        <v>211</v>
      </c>
      <c r="C383" s="2" t="s">
        <v>250</v>
      </c>
      <c r="E383">
        <v>55190.2</v>
      </c>
      <c r="G383">
        <v>0.05</v>
      </c>
      <c r="I383" t="s">
        <v>662</v>
      </c>
    </row>
    <row r="384" spans="1:10">
      <c r="A384" t="s">
        <v>743</v>
      </c>
      <c r="B384" t="s">
        <v>211</v>
      </c>
      <c r="C384" s="2" t="s">
        <v>248</v>
      </c>
      <c r="E384">
        <v>55214.3</v>
      </c>
      <c r="G384">
        <v>0.06</v>
      </c>
      <c r="I384" t="s">
        <v>662</v>
      </c>
    </row>
    <row r="385" spans="1:9">
      <c r="A385" t="s">
        <v>743</v>
      </c>
      <c r="B385" t="s">
        <v>211</v>
      </c>
      <c r="C385" s="2" t="s">
        <v>250</v>
      </c>
      <c r="E385">
        <v>55215.3</v>
      </c>
      <c r="G385">
        <v>0.4</v>
      </c>
      <c r="I385" t="s">
        <v>662</v>
      </c>
    </row>
    <row r="386" spans="1:9">
      <c r="A386" t="s">
        <v>744</v>
      </c>
      <c r="B386" t="s">
        <v>211</v>
      </c>
      <c r="C386" s="2" t="s">
        <v>248</v>
      </c>
      <c r="E386">
        <v>55236.26</v>
      </c>
      <c r="G386">
        <v>0.06</v>
      </c>
      <c r="I386" t="s">
        <v>662</v>
      </c>
    </row>
    <row r="387" spans="1:9">
      <c r="A387" t="s">
        <v>744</v>
      </c>
      <c r="B387" t="s">
        <v>211</v>
      </c>
      <c r="C387" s="2" t="s">
        <v>250</v>
      </c>
      <c r="E387">
        <v>55237.4</v>
      </c>
      <c r="G387">
        <v>0.5</v>
      </c>
      <c r="I387" t="s">
        <v>662</v>
      </c>
    </row>
    <row r="388" spans="1:9">
      <c r="A388" t="s">
        <v>745</v>
      </c>
      <c r="B388" t="s">
        <v>211</v>
      </c>
      <c r="C388" s="2" t="s">
        <v>248</v>
      </c>
      <c r="E388">
        <v>55255.6</v>
      </c>
      <c r="G388">
        <v>0.6</v>
      </c>
      <c r="I388" t="s">
        <v>662</v>
      </c>
    </row>
    <row r="389" spans="1:9">
      <c r="A389" t="s">
        <v>745</v>
      </c>
      <c r="B389" t="s">
        <v>211</v>
      </c>
      <c r="C389" s="2" t="s">
        <v>250</v>
      </c>
      <c r="E389">
        <v>55256.3</v>
      </c>
      <c r="G389">
        <v>0.5</v>
      </c>
      <c r="I389" t="s">
        <v>662</v>
      </c>
    </row>
    <row r="390" spans="1:9">
      <c r="A390" t="s">
        <v>746</v>
      </c>
      <c r="B390" t="s">
        <v>211</v>
      </c>
      <c r="C390" s="2" t="s">
        <v>248</v>
      </c>
      <c r="E390">
        <v>55272.59</v>
      </c>
      <c r="G390">
        <v>0.06</v>
      </c>
      <c r="I390" t="s">
        <v>662</v>
      </c>
    </row>
    <row r="391" spans="1:9">
      <c r="A391" t="s">
        <v>746</v>
      </c>
      <c r="B391" t="s">
        <v>211</v>
      </c>
      <c r="C391" s="2" t="s">
        <v>250</v>
      </c>
      <c r="E391">
        <v>55273.2</v>
      </c>
      <c r="G391">
        <v>0.5</v>
      </c>
      <c r="I391" t="s">
        <v>662</v>
      </c>
    </row>
    <row r="392" spans="1:9">
      <c r="A392" t="s">
        <v>747</v>
      </c>
      <c r="B392" t="s">
        <v>211</v>
      </c>
      <c r="C392" s="2" t="s">
        <v>248</v>
      </c>
      <c r="E392">
        <v>55287.4</v>
      </c>
      <c r="G392">
        <v>0.6</v>
      </c>
      <c r="I392" t="s">
        <v>662</v>
      </c>
    </row>
    <row r="393" spans="1:9">
      <c r="A393" t="s">
        <v>747</v>
      </c>
      <c r="B393" t="s">
        <v>211</v>
      </c>
      <c r="C393" s="2" t="s">
        <v>250</v>
      </c>
      <c r="E393">
        <v>55288.17</v>
      </c>
      <c r="G393">
        <v>0.06</v>
      </c>
      <c r="I393" t="s">
        <v>662</v>
      </c>
    </row>
    <row r="394" spans="1:9">
      <c r="A394" t="s">
        <v>748</v>
      </c>
      <c r="B394" t="s">
        <v>211</v>
      </c>
      <c r="C394" s="2" t="s">
        <v>250</v>
      </c>
      <c r="E394">
        <v>55301.2</v>
      </c>
      <c r="G394">
        <v>0.4</v>
      </c>
      <c r="I394" t="s">
        <v>662</v>
      </c>
    </row>
    <row r="395" spans="1:9">
      <c r="A395" t="s">
        <v>749</v>
      </c>
      <c r="B395" t="s">
        <v>211</v>
      </c>
      <c r="C395" s="2" t="s">
        <v>250</v>
      </c>
      <c r="E395">
        <v>55312.6</v>
      </c>
      <c r="G395">
        <v>0.4</v>
      </c>
      <c r="I395" t="s">
        <v>662</v>
      </c>
    </row>
    <row r="396" spans="1:9">
      <c r="A396" t="s">
        <v>750</v>
      </c>
      <c r="B396" t="s">
        <v>211</v>
      </c>
      <c r="C396" s="2" t="s">
        <v>250</v>
      </c>
      <c r="E396">
        <v>55323.3</v>
      </c>
      <c r="G396">
        <v>0.4</v>
      </c>
      <c r="I396" t="s">
        <v>662</v>
      </c>
    </row>
    <row r="397" spans="1:9">
      <c r="A397" t="s">
        <v>751</v>
      </c>
      <c r="B397" t="s">
        <v>211</v>
      </c>
      <c r="C397" s="2" t="s">
        <v>250</v>
      </c>
      <c r="E397">
        <v>55332.84</v>
      </c>
      <c r="G397">
        <v>0.06</v>
      </c>
      <c r="I397" t="s">
        <v>662</v>
      </c>
    </row>
    <row r="398" spans="1:9">
      <c r="A398" t="s">
        <v>752</v>
      </c>
      <c r="B398" t="s">
        <v>211</v>
      </c>
      <c r="C398" s="2" t="s">
        <v>250</v>
      </c>
      <c r="E398">
        <v>55341.41</v>
      </c>
      <c r="G398">
        <v>0.06</v>
      </c>
      <c r="I398" t="s">
        <v>662</v>
      </c>
    </row>
    <row r="399" spans="1:9">
      <c r="A399" t="s">
        <v>753</v>
      </c>
      <c r="B399" t="s">
        <v>211</v>
      </c>
      <c r="C399" s="2" t="s">
        <v>250</v>
      </c>
      <c r="E399">
        <v>55349.1</v>
      </c>
      <c r="G399">
        <v>0.4</v>
      </c>
      <c r="I399" t="s">
        <v>662</v>
      </c>
    </row>
    <row r="400" spans="1:9">
      <c r="A400" t="s">
        <v>754</v>
      </c>
      <c r="B400" t="s">
        <v>211</v>
      </c>
      <c r="C400" s="2" t="s">
        <v>250</v>
      </c>
      <c r="E400">
        <v>55356.7</v>
      </c>
      <c r="G400">
        <v>0.5</v>
      </c>
      <c r="I400" t="s">
        <v>662</v>
      </c>
    </row>
    <row r="401" spans="1:10">
      <c r="A401" t="s">
        <v>755</v>
      </c>
      <c r="B401" t="s">
        <v>211</v>
      </c>
      <c r="C401" s="2" t="s">
        <v>250</v>
      </c>
      <c r="E401">
        <v>55362.8</v>
      </c>
      <c r="G401">
        <v>0.4</v>
      </c>
      <c r="I401" t="s">
        <v>662</v>
      </c>
    </row>
    <row r="402" spans="1:10">
      <c r="A402" t="s">
        <v>756</v>
      </c>
      <c r="B402" t="s">
        <v>211</v>
      </c>
      <c r="C402" s="2" t="s">
        <v>250</v>
      </c>
      <c r="E402">
        <v>55368.99</v>
      </c>
      <c r="G402">
        <v>0.06</v>
      </c>
      <c r="I402" t="s">
        <v>662</v>
      </c>
    </row>
    <row r="403" spans="1:10">
      <c r="A403" t="s">
        <v>757</v>
      </c>
      <c r="B403" t="s">
        <v>211</v>
      </c>
      <c r="C403" s="2" t="s">
        <v>250</v>
      </c>
      <c r="E403">
        <v>55373.7</v>
      </c>
      <c r="G403">
        <v>0.6</v>
      </c>
      <c r="I403" t="s">
        <v>662</v>
      </c>
    </row>
    <row r="404" spans="1:10">
      <c r="A404" t="s">
        <v>758</v>
      </c>
      <c r="B404" t="s">
        <v>211</v>
      </c>
      <c r="C404" s="2" t="s">
        <v>250</v>
      </c>
      <c r="E404">
        <v>55378.2</v>
      </c>
      <c r="G404">
        <v>0.6</v>
      </c>
      <c r="I404" t="s">
        <v>662</v>
      </c>
    </row>
    <row r="405" spans="1:10">
      <c r="A405" t="s">
        <v>759</v>
      </c>
      <c r="B405" t="s">
        <v>202</v>
      </c>
      <c r="C405" s="2" t="s">
        <v>203</v>
      </c>
      <c r="E405">
        <v>55463</v>
      </c>
      <c r="I405" t="s">
        <v>662</v>
      </c>
      <c r="J405" t="s">
        <v>574</v>
      </c>
    </row>
    <row r="406" spans="1:10">
      <c r="A406" t="s">
        <v>760</v>
      </c>
      <c r="B406" t="s">
        <v>761</v>
      </c>
      <c r="C406" s="2" t="s">
        <v>249</v>
      </c>
      <c r="E406">
        <v>55657.3</v>
      </c>
      <c r="G406">
        <v>0.4</v>
      </c>
      <c r="I406" t="s">
        <v>662</v>
      </c>
    </row>
    <row r="407" spans="1:10">
      <c r="A407" t="s">
        <v>760</v>
      </c>
      <c r="B407" t="s">
        <v>761</v>
      </c>
      <c r="C407" s="2" t="s">
        <v>251</v>
      </c>
      <c r="E407">
        <v>55657.3</v>
      </c>
      <c r="G407">
        <v>0.4</v>
      </c>
      <c r="I407" t="s">
        <v>662</v>
      </c>
    </row>
    <row r="408" spans="1:10">
      <c r="A408" t="s">
        <v>762</v>
      </c>
      <c r="B408" t="s">
        <v>761</v>
      </c>
      <c r="C408" s="2" t="s">
        <v>251</v>
      </c>
      <c r="E408">
        <v>56147.1</v>
      </c>
      <c r="G408">
        <v>0.4</v>
      </c>
      <c r="I408" t="s">
        <v>662</v>
      </c>
    </row>
    <row r="409" spans="1:10">
      <c r="A409" t="s">
        <v>762</v>
      </c>
      <c r="B409" t="s">
        <v>761</v>
      </c>
      <c r="C409" s="2" t="s">
        <v>249</v>
      </c>
      <c r="E409">
        <v>56147.1</v>
      </c>
      <c r="G409">
        <v>0.4</v>
      </c>
      <c r="I409" t="s">
        <v>662</v>
      </c>
    </row>
    <row r="410" spans="1:10">
      <c r="C410" s="2" t="s">
        <v>661</v>
      </c>
      <c r="E410">
        <v>56179.99</v>
      </c>
      <c r="G410">
        <v>0.1</v>
      </c>
      <c r="I410" t="s">
        <v>662</v>
      </c>
    </row>
    <row r="411" spans="1:10">
      <c r="C411" s="2" t="s">
        <v>661</v>
      </c>
      <c r="E411">
        <v>56241.67</v>
      </c>
      <c r="G411">
        <v>0.1</v>
      </c>
      <c r="I411" t="s">
        <v>662</v>
      </c>
    </row>
    <row r="412" spans="1:10">
      <c r="C412" s="2" t="s">
        <v>661</v>
      </c>
      <c r="E412">
        <v>56359.93</v>
      </c>
      <c r="G412">
        <v>0.14000000000000001</v>
      </c>
      <c r="I412" t="s">
        <v>662</v>
      </c>
    </row>
    <row r="413" spans="1:10">
      <c r="C413" s="2" t="s">
        <v>661</v>
      </c>
      <c r="E413">
        <v>56440.29</v>
      </c>
      <c r="G413">
        <v>0.1</v>
      </c>
      <c r="I413" t="s">
        <v>662</v>
      </c>
    </row>
    <row r="414" spans="1:10">
      <c r="A414" t="s">
        <v>763</v>
      </c>
      <c r="B414" t="s">
        <v>761</v>
      </c>
      <c r="C414" s="2" t="s">
        <v>251</v>
      </c>
      <c r="E414">
        <v>56486.9</v>
      </c>
      <c r="G414">
        <v>0.4</v>
      </c>
      <c r="I414" t="s">
        <v>662</v>
      </c>
    </row>
    <row r="415" spans="1:10">
      <c r="A415" t="s">
        <v>763</v>
      </c>
      <c r="B415" t="s">
        <v>761</v>
      </c>
      <c r="C415" s="2" t="s">
        <v>249</v>
      </c>
      <c r="E415">
        <v>56486.9</v>
      </c>
      <c r="G415">
        <v>0.4</v>
      </c>
      <c r="I415" t="s">
        <v>662</v>
      </c>
    </row>
    <row r="416" spans="1:10">
      <c r="C416" s="2" t="s">
        <v>661</v>
      </c>
      <c r="E416">
        <v>56544.93</v>
      </c>
      <c r="G416">
        <v>0.09</v>
      </c>
      <c r="I416" t="s">
        <v>662</v>
      </c>
    </row>
    <row r="417" spans="1:9">
      <c r="C417" s="2" t="s">
        <v>661</v>
      </c>
      <c r="E417">
        <v>56620.36</v>
      </c>
      <c r="G417">
        <v>0.11</v>
      </c>
      <c r="I417" t="s">
        <v>662</v>
      </c>
    </row>
    <row r="418" spans="1:9">
      <c r="A418" t="s">
        <v>764</v>
      </c>
      <c r="B418" t="s">
        <v>761</v>
      </c>
      <c r="C418" s="2" t="s">
        <v>249</v>
      </c>
      <c r="E418">
        <v>56733.2</v>
      </c>
      <c r="G418">
        <v>0.4</v>
      </c>
      <c r="I418" t="s">
        <v>662</v>
      </c>
    </row>
    <row r="419" spans="1:9">
      <c r="A419" t="s">
        <v>764</v>
      </c>
      <c r="B419" t="s">
        <v>761</v>
      </c>
      <c r="C419" s="2" t="s">
        <v>251</v>
      </c>
      <c r="E419">
        <v>56733.2</v>
      </c>
      <c r="G419">
        <v>0.4</v>
      </c>
      <c r="I419" t="s">
        <v>662</v>
      </c>
    </row>
    <row r="420" spans="1:9">
      <c r="C420" s="2" t="s">
        <v>661</v>
      </c>
      <c r="E420">
        <v>56842.51</v>
      </c>
      <c r="G420">
        <v>0.12</v>
      </c>
      <c r="I420" t="s">
        <v>662</v>
      </c>
    </row>
    <row r="421" spans="1:9">
      <c r="C421" s="2" t="s">
        <v>661</v>
      </c>
      <c r="E421">
        <v>56900.35</v>
      </c>
      <c r="G421">
        <v>0.23</v>
      </c>
      <c r="I421" t="s">
        <v>662</v>
      </c>
    </row>
    <row r="422" spans="1:9">
      <c r="A422" t="s">
        <v>765</v>
      </c>
      <c r="B422" t="s">
        <v>761</v>
      </c>
      <c r="C422" s="2" t="s">
        <v>251</v>
      </c>
      <c r="E422">
        <v>56916.4</v>
      </c>
      <c r="G422">
        <v>0.4</v>
      </c>
      <c r="I422" t="s">
        <v>662</v>
      </c>
    </row>
    <row r="423" spans="1:9">
      <c r="A423" t="s">
        <v>765</v>
      </c>
      <c r="B423" t="s">
        <v>761</v>
      </c>
      <c r="C423" s="2" t="s">
        <v>249</v>
      </c>
      <c r="E423">
        <v>56916.4</v>
      </c>
      <c r="G423">
        <v>0.4</v>
      </c>
      <c r="I423" t="s">
        <v>662</v>
      </c>
    </row>
    <row r="424" spans="1:9">
      <c r="C424" s="2" t="s">
        <v>661</v>
      </c>
      <c r="E424">
        <v>57030.41</v>
      </c>
      <c r="G424">
        <v>0.19</v>
      </c>
      <c r="I424" t="s">
        <v>662</v>
      </c>
    </row>
    <row r="425" spans="1:9">
      <c r="A425" t="s">
        <v>766</v>
      </c>
      <c r="B425" t="s">
        <v>761</v>
      </c>
      <c r="C425" s="2" t="s">
        <v>251</v>
      </c>
      <c r="E425">
        <v>57057.2</v>
      </c>
      <c r="G425">
        <v>0.4</v>
      </c>
      <c r="I425" t="s">
        <v>662</v>
      </c>
    </row>
    <row r="426" spans="1:9">
      <c r="A426" t="s">
        <v>766</v>
      </c>
      <c r="B426" t="s">
        <v>761</v>
      </c>
      <c r="C426" s="2" t="s">
        <v>249</v>
      </c>
      <c r="E426">
        <v>57057.2</v>
      </c>
      <c r="G426">
        <v>0.4</v>
      </c>
      <c r="I426" t="s">
        <v>662</v>
      </c>
    </row>
    <row r="427" spans="1:9">
      <c r="C427" s="2" t="s">
        <v>661</v>
      </c>
      <c r="E427">
        <v>57087.22</v>
      </c>
      <c r="G427">
        <v>0.09</v>
      </c>
      <c r="I427" t="s">
        <v>662</v>
      </c>
    </row>
    <row r="428" spans="1:9">
      <c r="C428" s="2" t="s">
        <v>661</v>
      </c>
      <c r="E428">
        <v>57160.06</v>
      </c>
      <c r="G428">
        <v>0.12</v>
      </c>
      <c r="I428" t="s">
        <v>662</v>
      </c>
    </row>
    <row r="429" spans="1:9">
      <c r="C429" s="2" t="s">
        <v>661</v>
      </c>
      <c r="E429">
        <v>57166.12</v>
      </c>
      <c r="G429">
        <v>0.1</v>
      </c>
      <c r="I429" t="s">
        <v>662</v>
      </c>
    </row>
    <row r="430" spans="1:9">
      <c r="A430" t="s">
        <v>767</v>
      </c>
      <c r="B430" t="s">
        <v>761</v>
      </c>
      <c r="C430" s="2" t="s">
        <v>251</v>
      </c>
      <c r="E430">
        <v>57167.5</v>
      </c>
      <c r="G430">
        <v>0.4</v>
      </c>
      <c r="I430" t="s">
        <v>662</v>
      </c>
    </row>
    <row r="431" spans="1:9">
      <c r="A431" t="s">
        <v>767</v>
      </c>
      <c r="B431" t="s">
        <v>761</v>
      </c>
      <c r="C431" s="2" t="s">
        <v>249</v>
      </c>
      <c r="E431">
        <v>57167.5</v>
      </c>
      <c r="G431">
        <v>0.4</v>
      </c>
      <c r="I431" t="s">
        <v>662</v>
      </c>
    </row>
    <row r="432" spans="1:9">
      <c r="C432" s="2" t="s">
        <v>661</v>
      </c>
      <c r="E432">
        <v>57170.37</v>
      </c>
      <c r="G432">
        <v>0.11</v>
      </c>
      <c r="I432" t="s">
        <v>662</v>
      </c>
    </row>
    <row r="433" spans="1:10">
      <c r="C433" s="2" t="s">
        <v>661</v>
      </c>
      <c r="E433">
        <v>57391.72</v>
      </c>
      <c r="G433">
        <v>0.13</v>
      </c>
      <c r="I433" t="s">
        <v>662</v>
      </c>
    </row>
    <row r="434" spans="1:10">
      <c r="C434" s="2" t="s">
        <v>661</v>
      </c>
      <c r="E434">
        <v>57425.35</v>
      </c>
      <c r="G434">
        <v>0.09</v>
      </c>
      <c r="I434" t="s">
        <v>662</v>
      </c>
    </row>
    <row r="435" spans="1:10">
      <c r="C435" s="2" t="s">
        <v>661</v>
      </c>
      <c r="E435">
        <v>57454.239999999998</v>
      </c>
      <c r="G435">
        <v>0.09</v>
      </c>
      <c r="I435" t="s">
        <v>662</v>
      </c>
    </row>
    <row r="436" spans="1:10">
      <c r="C436" s="2" t="s">
        <v>661</v>
      </c>
      <c r="E436">
        <v>57478.54</v>
      </c>
      <c r="G436">
        <v>0.17</v>
      </c>
      <c r="I436" t="s">
        <v>662</v>
      </c>
    </row>
    <row r="437" spans="1:10">
      <c r="A437" t="s">
        <v>768</v>
      </c>
      <c r="B437" t="s">
        <v>219</v>
      </c>
      <c r="C437" s="2" t="s">
        <v>251</v>
      </c>
      <c r="E437">
        <v>57485.8</v>
      </c>
      <c r="G437">
        <v>0.7</v>
      </c>
      <c r="I437" t="s">
        <v>662</v>
      </c>
    </row>
    <row r="438" spans="1:10">
      <c r="A438" t="s">
        <v>768</v>
      </c>
      <c r="B438" t="s">
        <v>219</v>
      </c>
      <c r="C438" s="2" t="s">
        <v>249</v>
      </c>
      <c r="E438">
        <v>57503.9</v>
      </c>
      <c r="G438">
        <v>0.5</v>
      </c>
      <c r="I438" t="s">
        <v>662</v>
      </c>
    </row>
    <row r="439" spans="1:10">
      <c r="C439" s="2" t="s">
        <v>661</v>
      </c>
      <c r="E439">
        <v>57576.98</v>
      </c>
      <c r="G439">
        <v>0.17</v>
      </c>
      <c r="I439" t="s">
        <v>662</v>
      </c>
    </row>
    <row r="440" spans="1:10">
      <c r="C440" s="2" t="s">
        <v>661</v>
      </c>
      <c r="E440">
        <v>57581.83</v>
      </c>
      <c r="G440">
        <v>0.1</v>
      </c>
      <c r="I440" t="s">
        <v>662</v>
      </c>
    </row>
    <row r="441" spans="1:10">
      <c r="C441" s="2" t="s">
        <v>661</v>
      </c>
      <c r="E441">
        <v>57600.83</v>
      </c>
      <c r="G441">
        <v>0.12</v>
      </c>
      <c r="I441" t="s">
        <v>662</v>
      </c>
    </row>
    <row r="442" spans="1:10">
      <c r="A442" t="s">
        <v>769</v>
      </c>
      <c r="B442" t="s">
        <v>202</v>
      </c>
      <c r="C442" s="2" t="s">
        <v>203</v>
      </c>
      <c r="E442">
        <v>57805.599999999999</v>
      </c>
      <c r="I442" t="s">
        <v>662</v>
      </c>
      <c r="J442" t="s">
        <v>574</v>
      </c>
    </row>
    <row r="443" spans="1:10">
      <c r="A443" t="s">
        <v>770</v>
      </c>
      <c r="B443" t="s">
        <v>219</v>
      </c>
      <c r="C443" s="2" t="s">
        <v>249</v>
      </c>
      <c r="E443">
        <v>60090.400000000001</v>
      </c>
      <c r="G443">
        <v>0.6</v>
      </c>
      <c r="I443" t="s">
        <v>662</v>
      </c>
    </row>
    <row r="444" spans="1:10">
      <c r="A444" t="s">
        <v>770</v>
      </c>
      <c r="B444" t="s">
        <v>219</v>
      </c>
      <c r="C444" s="2" t="s">
        <v>251</v>
      </c>
      <c r="E444">
        <v>60090.6</v>
      </c>
      <c r="G444">
        <v>1</v>
      </c>
      <c r="I444" t="s">
        <v>662</v>
      </c>
    </row>
    <row r="445" spans="1:10">
      <c r="A445" t="s">
        <v>771</v>
      </c>
      <c r="B445" t="s">
        <v>219</v>
      </c>
      <c r="C445" s="2" t="s">
        <v>249</v>
      </c>
      <c r="E445">
        <v>61497.9</v>
      </c>
      <c r="G445">
        <v>0.7</v>
      </c>
      <c r="I445" t="s">
        <v>662</v>
      </c>
    </row>
    <row r="446" spans="1:10">
      <c r="A446" t="s">
        <v>771</v>
      </c>
      <c r="B446" t="s">
        <v>219</v>
      </c>
      <c r="C446" s="2" t="s">
        <v>251</v>
      </c>
      <c r="E446">
        <v>61498.5</v>
      </c>
      <c r="G446">
        <v>1.1000000000000001</v>
      </c>
      <c r="I446" t="s">
        <v>662</v>
      </c>
    </row>
    <row r="447" spans="1:10">
      <c r="A447" t="s">
        <v>772</v>
      </c>
      <c r="B447" t="s">
        <v>219</v>
      </c>
      <c r="C447" s="2" t="s">
        <v>249</v>
      </c>
      <c r="E447">
        <v>62343.7</v>
      </c>
      <c r="G447">
        <v>0.7</v>
      </c>
      <c r="I447" t="s">
        <v>662</v>
      </c>
    </row>
    <row r="448" spans="1:10">
      <c r="A448" t="s">
        <v>772</v>
      </c>
      <c r="B448" t="s">
        <v>219</v>
      </c>
      <c r="C448" s="2" t="s">
        <v>251</v>
      </c>
      <c r="E448">
        <v>62344.2</v>
      </c>
      <c r="G448">
        <v>1.1000000000000001</v>
      </c>
      <c r="I448" t="s">
        <v>662</v>
      </c>
    </row>
    <row r="449" spans="1:9">
      <c r="A449" t="s">
        <v>773</v>
      </c>
      <c r="B449" t="s">
        <v>219</v>
      </c>
      <c r="C449" s="2" t="s">
        <v>251</v>
      </c>
      <c r="E449">
        <v>62885.9</v>
      </c>
      <c r="G449">
        <v>1.1000000000000001</v>
      </c>
      <c r="I449" t="s">
        <v>662</v>
      </c>
    </row>
    <row r="450" spans="1:9">
      <c r="A450" t="s">
        <v>773</v>
      </c>
      <c r="B450" t="s">
        <v>219</v>
      </c>
      <c r="C450" s="2" t="s">
        <v>249</v>
      </c>
      <c r="E450">
        <v>62886.5</v>
      </c>
      <c r="G450">
        <v>0.7</v>
      </c>
      <c r="I450" t="s">
        <v>662</v>
      </c>
    </row>
    <row r="451" spans="1:9">
      <c r="A451" t="s">
        <v>774</v>
      </c>
      <c r="B451" t="s">
        <v>219</v>
      </c>
      <c r="C451" s="2" t="s">
        <v>249</v>
      </c>
      <c r="E451">
        <v>63266.9</v>
      </c>
      <c r="G451">
        <v>0.7</v>
      </c>
      <c r="I451" t="s">
        <v>662</v>
      </c>
    </row>
    <row r="452" spans="1:9">
      <c r="A452" t="s">
        <v>774</v>
      </c>
      <c r="B452" t="s">
        <v>219</v>
      </c>
      <c r="C452" s="2" t="s">
        <v>251</v>
      </c>
      <c r="E452">
        <v>63267.4</v>
      </c>
      <c r="G452">
        <v>1.1000000000000001</v>
      </c>
      <c r="I452" t="s">
        <v>662</v>
      </c>
    </row>
    <row r="453" spans="1:9">
      <c r="A453" t="s">
        <v>775</v>
      </c>
      <c r="B453" t="s">
        <v>219</v>
      </c>
      <c r="C453" s="2" t="s">
        <v>249</v>
      </c>
      <c r="E453">
        <v>63533.2</v>
      </c>
      <c r="G453">
        <v>0.7</v>
      </c>
      <c r="I453" t="s">
        <v>662</v>
      </c>
    </row>
    <row r="454" spans="1:9">
      <c r="A454" t="s">
        <v>775</v>
      </c>
      <c r="B454" t="s">
        <v>219</v>
      </c>
      <c r="C454" s="2" t="s">
        <v>251</v>
      </c>
      <c r="E454">
        <v>63533.3</v>
      </c>
      <c r="G454">
        <v>1.1000000000000001</v>
      </c>
      <c r="I454" t="s">
        <v>662</v>
      </c>
    </row>
    <row r="455" spans="1:9">
      <c r="A455" t="s">
        <v>776</v>
      </c>
      <c r="B455" t="s">
        <v>219</v>
      </c>
      <c r="C455" s="2" t="s">
        <v>249</v>
      </c>
      <c r="E455">
        <v>63729.7</v>
      </c>
      <c r="G455">
        <v>0.7</v>
      </c>
      <c r="I455" t="s">
        <v>662</v>
      </c>
    </row>
    <row r="456" spans="1:9">
      <c r="A456" t="s">
        <v>776</v>
      </c>
      <c r="B456" t="s">
        <v>219</v>
      </c>
      <c r="C456" s="2" t="s">
        <v>251</v>
      </c>
      <c r="E456">
        <v>63729.8</v>
      </c>
      <c r="G456">
        <v>1.1000000000000001</v>
      </c>
      <c r="I456" t="s">
        <v>662</v>
      </c>
    </row>
    <row r="457" spans="1:9">
      <c r="A457" t="s">
        <v>777</v>
      </c>
      <c r="B457" t="s">
        <v>219</v>
      </c>
      <c r="C457" s="2" t="s">
        <v>251</v>
      </c>
      <c r="E457">
        <v>63878.400000000001</v>
      </c>
      <c r="G457">
        <v>1.1000000000000001</v>
      </c>
      <c r="I457" t="s">
        <v>662</v>
      </c>
    </row>
    <row r="458" spans="1:9">
      <c r="A458" t="s">
        <v>777</v>
      </c>
      <c r="B458" t="s">
        <v>219</v>
      </c>
      <c r="C458" s="2" t="s">
        <v>249</v>
      </c>
      <c r="E458">
        <v>63878.5</v>
      </c>
      <c r="G458">
        <v>0.7</v>
      </c>
      <c r="I458" t="s">
        <v>662</v>
      </c>
    </row>
    <row r="459" spans="1:9">
      <c r="A459" t="s">
        <v>778</v>
      </c>
      <c r="B459" t="s">
        <v>219</v>
      </c>
      <c r="C459" s="2" t="s">
        <v>249</v>
      </c>
      <c r="E459">
        <v>63994.1</v>
      </c>
      <c r="G459">
        <v>1.1000000000000001</v>
      </c>
      <c r="I459" t="s">
        <v>662</v>
      </c>
    </row>
    <row r="460" spans="1:9">
      <c r="A460" t="s">
        <v>778</v>
      </c>
      <c r="B460" t="s">
        <v>219</v>
      </c>
      <c r="C460" s="2" t="s">
        <v>251</v>
      </c>
      <c r="E460">
        <v>63994.7</v>
      </c>
      <c r="G460">
        <v>1.2</v>
      </c>
      <c r="I460" t="s">
        <v>662</v>
      </c>
    </row>
    <row r="461" spans="1:9">
      <c r="A461" t="s">
        <v>779</v>
      </c>
      <c r="B461" t="s">
        <v>219</v>
      </c>
      <c r="C461" s="2" t="s">
        <v>251</v>
      </c>
      <c r="E461">
        <v>64085.7</v>
      </c>
      <c r="G461">
        <v>1.2</v>
      </c>
      <c r="I461" t="s">
        <v>662</v>
      </c>
    </row>
    <row r="462" spans="1:9">
      <c r="A462" t="s">
        <v>779</v>
      </c>
      <c r="B462" t="s">
        <v>219</v>
      </c>
      <c r="C462" s="2" t="s">
        <v>249</v>
      </c>
      <c r="E462">
        <v>64086.3</v>
      </c>
      <c r="G462">
        <v>0.7</v>
      </c>
      <c r="I462" t="s">
        <v>662</v>
      </c>
    </row>
    <row r="463" spans="1:9">
      <c r="A463" t="s">
        <v>780</v>
      </c>
      <c r="B463" t="s">
        <v>219</v>
      </c>
      <c r="C463" s="2" t="s">
        <v>249</v>
      </c>
      <c r="E463">
        <v>64159.8</v>
      </c>
      <c r="G463">
        <v>0.9</v>
      </c>
      <c r="I463" t="s">
        <v>662</v>
      </c>
    </row>
    <row r="464" spans="1:9">
      <c r="A464" t="s">
        <v>780</v>
      </c>
      <c r="B464" t="s">
        <v>219</v>
      </c>
      <c r="C464" s="2" t="s">
        <v>251</v>
      </c>
      <c r="E464">
        <v>64161.4</v>
      </c>
      <c r="G464">
        <v>1.4</v>
      </c>
      <c r="I464" t="s">
        <v>662</v>
      </c>
    </row>
    <row r="465" spans="1:10">
      <c r="A465" t="s">
        <v>781</v>
      </c>
      <c r="B465" t="s">
        <v>219</v>
      </c>
      <c r="C465" s="2" t="s">
        <v>251</v>
      </c>
      <c r="E465">
        <v>64270.9</v>
      </c>
      <c r="G465">
        <v>1.2</v>
      </c>
      <c r="I465" t="s">
        <v>662</v>
      </c>
    </row>
    <row r="466" spans="1:10">
      <c r="A466" t="s">
        <v>781</v>
      </c>
      <c r="B466" t="s">
        <v>219</v>
      </c>
      <c r="C466" s="2" t="s">
        <v>249</v>
      </c>
      <c r="E466">
        <v>64271.3</v>
      </c>
      <c r="G466">
        <v>0.7</v>
      </c>
      <c r="I466" t="s">
        <v>662</v>
      </c>
    </row>
    <row r="467" spans="1:10">
      <c r="A467" t="s">
        <v>782</v>
      </c>
      <c r="B467" t="s">
        <v>219</v>
      </c>
      <c r="C467" s="2" t="s">
        <v>251</v>
      </c>
      <c r="E467">
        <v>64312.4</v>
      </c>
      <c r="G467">
        <v>1.2</v>
      </c>
      <c r="I467" t="s">
        <v>662</v>
      </c>
    </row>
    <row r="468" spans="1:10">
      <c r="A468" t="s">
        <v>782</v>
      </c>
      <c r="B468" t="s">
        <v>219</v>
      </c>
      <c r="C468" s="2" t="s">
        <v>249</v>
      </c>
      <c r="E468">
        <v>64312.4</v>
      </c>
      <c r="G468">
        <v>0.7</v>
      </c>
      <c r="I468" t="s">
        <v>662</v>
      </c>
    </row>
    <row r="469" spans="1:10">
      <c r="A469" t="s">
        <v>783</v>
      </c>
      <c r="B469" t="s">
        <v>219</v>
      </c>
      <c r="C469" s="2" t="s">
        <v>251</v>
      </c>
      <c r="E469">
        <v>64347.8</v>
      </c>
      <c r="G469">
        <v>1.2</v>
      </c>
      <c r="I469" t="s">
        <v>662</v>
      </c>
    </row>
    <row r="470" spans="1:10">
      <c r="A470" t="s">
        <v>783</v>
      </c>
      <c r="B470" t="s">
        <v>219</v>
      </c>
      <c r="C470" s="2" t="s">
        <v>249</v>
      </c>
      <c r="E470">
        <v>64347.9</v>
      </c>
      <c r="G470">
        <v>0.7</v>
      </c>
      <c r="I470" t="s">
        <v>662</v>
      </c>
    </row>
    <row r="471" spans="1:10">
      <c r="A471" t="s">
        <v>784</v>
      </c>
      <c r="B471" t="s">
        <v>219</v>
      </c>
      <c r="C471" s="2" t="s">
        <v>251</v>
      </c>
      <c r="E471">
        <v>64378.2</v>
      </c>
      <c r="G471">
        <v>0.8</v>
      </c>
      <c r="I471" t="s">
        <v>662</v>
      </c>
      <c r="J471" t="s">
        <v>574</v>
      </c>
    </row>
    <row r="472" spans="1:10">
      <c r="A472" t="s">
        <v>784</v>
      </c>
      <c r="B472" t="s">
        <v>219</v>
      </c>
      <c r="C472" s="2" t="s">
        <v>249</v>
      </c>
      <c r="E472">
        <v>64378.2</v>
      </c>
      <c r="G472">
        <v>0.8</v>
      </c>
      <c r="I472" t="s">
        <v>662</v>
      </c>
    </row>
    <row r="473" spans="1:10">
      <c r="A473" t="s">
        <v>785</v>
      </c>
      <c r="B473" t="s">
        <v>219</v>
      </c>
      <c r="C473" s="2" t="s">
        <v>251</v>
      </c>
      <c r="E473">
        <v>64404.7</v>
      </c>
      <c r="G473">
        <v>1.2</v>
      </c>
      <c r="I473" t="s">
        <v>662</v>
      </c>
    </row>
    <row r="474" spans="1:10">
      <c r="A474" t="s">
        <v>785</v>
      </c>
      <c r="B474" t="s">
        <v>219</v>
      </c>
      <c r="C474" s="2" t="s">
        <v>249</v>
      </c>
      <c r="E474">
        <v>64404.7</v>
      </c>
      <c r="G474">
        <v>1.2</v>
      </c>
      <c r="I474" t="s">
        <v>662</v>
      </c>
    </row>
    <row r="475" spans="1:10">
      <c r="A475" t="s">
        <v>786</v>
      </c>
      <c r="B475" t="s">
        <v>219</v>
      </c>
      <c r="C475" s="2" t="s">
        <v>249</v>
      </c>
      <c r="E475">
        <v>64426.6</v>
      </c>
      <c r="G475">
        <v>1.2</v>
      </c>
      <c r="I475" t="s">
        <v>662</v>
      </c>
    </row>
    <row r="476" spans="1:10">
      <c r="A476" t="s">
        <v>786</v>
      </c>
      <c r="B476" t="s">
        <v>219</v>
      </c>
      <c r="C476" s="2" t="s">
        <v>251</v>
      </c>
      <c r="E476">
        <v>64426.6</v>
      </c>
      <c r="G476">
        <v>1.2</v>
      </c>
      <c r="I476" t="s">
        <v>662</v>
      </c>
    </row>
    <row r="477" spans="1:10">
      <c r="A477" t="s">
        <v>787</v>
      </c>
      <c r="B477" t="s">
        <v>219</v>
      </c>
      <c r="C477" s="2" t="s">
        <v>249</v>
      </c>
      <c r="E477">
        <v>64445.599999999999</v>
      </c>
      <c r="G477">
        <v>1.2</v>
      </c>
      <c r="I477" t="s">
        <v>662</v>
      </c>
    </row>
    <row r="478" spans="1:10">
      <c r="A478" t="s">
        <v>787</v>
      </c>
      <c r="B478" t="s">
        <v>219</v>
      </c>
      <c r="C478" s="2" t="s">
        <v>251</v>
      </c>
      <c r="E478">
        <v>64445.599999999999</v>
      </c>
      <c r="G478">
        <v>1.2</v>
      </c>
      <c r="I478" t="s">
        <v>662</v>
      </c>
    </row>
    <row r="479" spans="1:10">
      <c r="A479" t="s">
        <v>788</v>
      </c>
      <c r="B479" t="s">
        <v>202</v>
      </c>
      <c r="C479" s="2" t="s">
        <v>203</v>
      </c>
      <c r="E479">
        <v>64658.400000000001</v>
      </c>
      <c r="I479" t="s">
        <v>662</v>
      </c>
      <c r="J479" t="s">
        <v>574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8F92-7009-413C-BDD0-0A243208892D}">
  <dimension ref="A1:J381"/>
  <sheetViews>
    <sheetView workbookViewId="0">
      <selection sqref="A1:J1048576"/>
    </sheetView>
  </sheetViews>
  <sheetFormatPr defaultRowHeight="15"/>
  <cols>
    <col min="1" max="1" width="22.85546875" bestFit="1" customWidth="1"/>
    <col min="2" max="2" width="10.710937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19.85546875" bestFit="1" customWidth="1"/>
    <col min="10" max="10" width="12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2958</v>
      </c>
      <c r="B2" t="s">
        <v>264</v>
      </c>
      <c r="C2">
        <v>0</v>
      </c>
      <c r="E2">
        <v>0</v>
      </c>
      <c r="G2">
        <v>1.9E-3</v>
      </c>
      <c r="I2">
        <v>97</v>
      </c>
      <c r="J2" t="s">
        <v>2959</v>
      </c>
    </row>
    <row r="3" spans="1:10">
      <c r="A3" t="s">
        <v>2960</v>
      </c>
      <c r="B3" t="s">
        <v>282</v>
      </c>
      <c r="C3">
        <v>0</v>
      </c>
      <c r="E3">
        <v>32311.317599999998</v>
      </c>
      <c r="G3">
        <v>1E-3</v>
      </c>
      <c r="I3">
        <v>98</v>
      </c>
      <c r="J3" t="s">
        <v>2961</v>
      </c>
    </row>
    <row r="4" spans="1:10">
      <c r="A4" t="s">
        <v>2960</v>
      </c>
      <c r="B4" t="s">
        <v>282</v>
      </c>
      <c r="C4">
        <v>1</v>
      </c>
      <c r="E4">
        <v>32501.399000000001</v>
      </c>
      <c r="G4">
        <v>0</v>
      </c>
      <c r="H4">
        <v>1.496</v>
      </c>
      <c r="I4">
        <v>98</v>
      </c>
      <c r="J4" t="s">
        <v>2961</v>
      </c>
    </row>
    <row r="5" spans="1:10">
      <c r="A5" t="s">
        <v>2960</v>
      </c>
      <c r="B5" t="s">
        <v>282</v>
      </c>
      <c r="C5">
        <v>2</v>
      </c>
      <c r="E5">
        <v>32890.326699999998</v>
      </c>
      <c r="G5">
        <v>8.9999999999999998E-4</v>
      </c>
      <c r="H5">
        <v>1.5049999999999999</v>
      </c>
      <c r="I5">
        <v>98</v>
      </c>
      <c r="J5" t="s">
        <v>2961</v>
      </c>
    </row>
    <row r="6" spans="1:10">
      <c r="A6" t="s">
        <v>2960</v>
      </c>
      <c r="B6" t="s">
        <v>303</v>
      </c>
      <c r="C6">
        <v>1</v>
      </c>
      <c r="E6">
        <v>46745.403200000001</v>
      </c>
      <c r="G6">
        <v>2.3999999999999998E-3</v>
      </c>
      <c r="I6">
        <v>95</v>
      </c>
      <c r="J6" t="s">
        <v>2961</v>
      </c>
    </row>
    <row r="7" spans="1:10">
      <c r="A7" t="s">
        <v>2962</v>
      </c>
      <c r="B7" t="s">
        <v>509</v>
      </c>
      <c r="C7">
        <v>1</v>
      </c>
      <c r="E7">
        <v>53672.239800000003</v>
      </c>
      <c r="G7">
        <v>8.0000000000000004E-4</v>
      </c>
      <c r="H7">
        <v>2.0009999999999999</v>
      </c>
      <c r="I7">
        <v>100</v>
      </c>
      <c r="J7" t="s">
        <v>2961</v>
      </c>
    </row>
    <row r="8" spans="1:10">
      <c r="A8" t="s">
        <v>2962</v>
      </c>
      <c r="B8" t="s">
        <v>264</v>
      </c>
      <c r="C8">
        <v>0</v>
      </c>
      <c r="E8">
        <v>55789.216</v>
      </c>
      <c r="G8">
        <v>3.0000000000000001E-3</v>
      </c>
      <c r="I8">
        <v>98</v>
      </c>
      <c r="J8" t="s">
        <v>2963</v>
      </c>
    </row>
    <row r="9" spans="1:10">
      <c r="A9" t="s">
        <v>2964</v>
      </c>
      <c r="B9" t="s">
        <v>282</v>
      </c>
      <c r="C9">
        <v>0</v>
      </c>
      <c r="E9">
        <v>61247.866000000002</v>
      </c>
      <c r="G9">
        <v>5.0000000000000001E-3</v>
      </c>
      <c r="I9">
        <v>99</v>
      </c>
      <c r="J9" t="s">
        <v>2965</v>
      </c>
    </row>
    <row r="10" spans="1:10">
      <c r="A10" t="s">
        <v>2964</v>
      </c>
      <c r="B10" t="s">
        <v>282</v>
      </c>
      <c r="C10">
        <v>1</v>
      </c>
      <c r="E10">
        <v>61274.419000000002</v>
      </c>
      <c r="G10">
        <v>4.0000000000000001E-3</v>
      </c>
      <c r="I10">
        <v>99</v>
      </c>
      <c r="J10" t="s">
        <v>2966</v>
      </c>
    </row>
    <row r="11" spans="1:10">
      <c r="A11" t="s">
        <v>2964</v>
      </c>
      <c r="B11" t="s">
        <v>282</v>
      </c>
      <c r="C11">
        <v>2</v>
      </c>
      <c r="E11">
        <v>61330.845000000001</v>
      </c>
      <c r="G11">
        <v>3.0000000000000001E-3</v>
      </c>
      <c r="I11">
        <v>99</v>
      </c>
      <c r="J11" t="s">
        <v>2965</v>
      </c>
    </row>
    <row r="12" spans="1:10">
      <c r="A12" t="s">
        <v>2967</v>
      </c>
      <c r="B12" t="s">
        <v>259</v>
      </c>
      <c r="C12">
        <v>2</v>
      </c>
      <c r="E12">
        <v>62458.532299999999</v>
      </c>
      <c r="G12">
        <v>2.5999999999999999E-3</v>
      </c>
      <c r="I12">
        <v>95</v>
      </c>
      <c r="J12" t="s">
        <v>2961</v>
      </c>
    </row>
    <row r="13" spans="1:10">
      <c r="A13" t="s">
        <v>2967</v>
      </c>
      <c r="B13" t="s">
        <v>257</v>
      </c>
      <c r="C13">
        <v>1</v>
      </c>
      <c r="E13">
        <v>62768.746200000001</v>
      </c>
      <c r="G13">
        <v>1.2999999999999999E-3</v>
      </c>
      <c r="I13">
        <v>100</v>
      </c>
      <c r="J13" t="s">
        <v>2961</v>
      </c>
    </row>
    <row r="14" spans="1:10">
      <c r="A14" t="s">
        <v>2967</v>
      </c>
      <c r="B14" t="s">
        <v>257</v>
      </c>
      <c r="C14">
        <v>2</v>
      </c>
      <c r="E14">
        <v>62772.0144</v>
      </c>
      <c r="G14">
        <v>1.5E-3</v>
      </c>
      <c r="I14">
        <v>100</v>
      </c>
      <c r="J14" t="s">
        <v>2961</v>
      </c>
    </row>
    <row r="15" spans="1:10">
      <c r="A15" t="s">
        <v>2967</v>
      </c>
      <c r="B15" t="s">
        <v>257</v>
      </c>
      <c r="C15">
        <v>3</v>
      </c>
      <c r="E15">
        <v>62776.980900000002</v>
      </c>
      <c r="G15">
        <v>2.0999999999999999E-3</v>
      </c>
      <c r="I15">
        <v>100</v>
      </c>
      <c r="J15" t="s">
        <v>2961</v>
      </c>
    </row>
    <row r="16" spans="1:10">
      <c r="A16" t="s">
        <v>2964</v>
      </c>
      <c r="B16" t="s">
        <v>303</v>
      </c>
      <c r="C16">
        <v>1</v>
      </c>
      <c r="E16">
        <v>62910.436000000002</v>
      </c>
      <c r="G16">
        <v>7.0000000000000001E-3</v>
      </c>
      <c r="I16">
        <v>95</v>
      </c>
      <c r="J16" t="s">
        <v>2968</v>
      </c>
    </row>
    <row r="17" spans="1:10">
      <c r="A17" t="s">
        <v>2969</v>
      </c>
      <c r="B17" t="s">
        <v>509</v>
      </c>
      <c r="C17">
        <v>1</v>
      </c>
      <c r="E17">
        <v>65432.288699999997</v>
      </c>
      <c r="G17">
        <v>2.3999999999999998E-3</v>
      </c>
      <c r="I17">
        <v>100</v>
      </c>
      <c r="J17" t="s">
        <v>2970</v>
      </c>
    </row>
    <row r="18" spans="1:10">
      <c r="A18" t="s">
        <v>2969</v>
      </c>
      <c r="B18" t="s">
        <v>264</v>
      </c>
      <c r="C18">
        <v>0</v>
      </c>
      <c r="E18">
        <v>66037.666299999997</v>
      </c>
      <c r="G18">
        <v>3.2000000000000002E-3</v>
      </c>
      <c r="I18">
        <v>97</v>
      </c>
      <c r="J18" t="s">
        <v>2961</v>
      </c>
    </row>
    <row r="19" spans="1:10">
      <c r="A19" t="s">
        <v>2971</v>
      </c>
      <c r="B19" t="s">
        <v>282</v>
      </c>
      <c r="C19">
        <v>0</v>
      </c>
      <c r="E19">
        <v>68070.881999999998</v>
      </c>
      <c r="G19">
        <v>8.0000000000000002E-3</v>
      </c>
      <c r="I19">
        <v>100</v>
      </c>
      <c r="J19" t="s">
        <v>2968</v>
      </c>
    </row>
    <row r="20" spans="1:10">
      <c r="A20" t="s">
        <v>2971</v>
      </c>
      <c r="B20" t="s">
        <v>282</v>
      </c>
      <c r="C20">
        <v>1</v>
      </c>
      <c r="E20">
        <v>68080.707999999999</v>
      </c>
      <c r="G20">
        <v>8.0000000000000002E-3</v>
      </c>
      <c r="I20">
        <v>99</v>
      </c>
      <c r="J20" t="s">
        <v>2968</v>
      </c>
    </row>
    <row r="21" spans="1:10">
      <c r="A21" t="s">
        <v>2971</v>
      </c>
      <c r="B21" t="s">
        <v>282</v>
      </c>
      <c r="C21">
        <v>2</v>
      </c>
      <c r="E21">
        <v>68101.824999999997</v>
      </c>
      <c r="G21">
        <v>7.0000000000000001E-3</v>
      </c>
      <c r="I21">
        <v>100</v>
      </c>
      <c r="J21" t="s">
        <v>2968</v>
      </c>
    </row>
    <row r="22" spans="1:10">
      <c r="A22" t="s">
        <v>2972</v>
      </c>
      <c r="B22" t="s">
        <v>259</v>
      </c>
      <c r="C22">
        <v>2</v>
      </c>
      <c r="E22">
        <v>68338.523300000001</v>
      </c>
      <c r="G22">
        <v>2.5999999999999999E-3</v>
      </c>
      <c r="I22">
        <v>96</v>
      </c>
      <c r="J22" t="s">
        <v>2961</v>
      </c>
    </row>
    <row r="23" spans="1:10">
      <c r="A23" t="s">
        <v>2972</v>
      </c>
      <c r="B23" t="s">
        <v>257</v>
      </c>
      <c r="C23">
        <v>1</v>
      </c>
      <c r="E23">
        <v>68579.139899999995</v>
      </c>
      <c r="G23">
        <v>1.4E-3</v>
      </c>
      <c r="I23">
        <v>100</v>
      </c>
      <c r="J23" t="s">
        <v>2961</v>
      </c>
    </row>
    <row r="24" spans="1:10">
      <c r="A24" t="s">
        <v>2972</v>
      </c>
      <c r="B24" t="s">
        <v>257</v>
      </c>
      <c r="C24">
        <v>2</v>
      </c>
      <c r="E24">
        <v>68580.705300000001</v>
      </c>
      <c r="G24">
        <v>1.5E-3</v>
      </c>
      <c r="I24">
        <v>100</v>
      </c>
      <c r="J24" t="s">
        <v>2961</v>
      </c>
    </row>
    <row r="25" spans="1:10">
      <c r="A25" t="s">
        <v>2972</v>
      </c>
      <c r="B25" t="s">
        <v>257</v>
      </c>
      <c r="C25">
        <v>3</v>
      </c>
      <c r="E25">
        <v>68583.082699999999</v>
      </c>
      <c r="G25">
        <v>2.2000000000000001E-3</v>
      </c>
      <c r="I25">
        <v>100</v>
      </c>
      <c r="J25" t="s">
        <v>2961</v>
      </c>
    </row>
    <row r="26" spans="1:10">
      <c r="A26" t="s">
        <v>2971</v>
      </c>
      <c r="B26" t="s">
        <v>303</v>
      </c>
      <c r="C26">
        <v>1</v>
      </c>
      <c r="E26">
        <v>68607.231</v>
      </c>
      <c r="G26">
        <v>7.0000000000000001E-3</v>
      </c>
      <c r="I26">
        <v>97</v>
      </c>
      <c r="J26" t="s">
        <v>2968</v>
      </c>
    </row>
    <row r="27" spans="1:10">
      <c r="A27" t="s">
        <v>2973</v>
      </c>
      <c r="B27" t="s">
        <v>283</v>
      </c>
      <c r="C27">
        <v>2</v>
      </c>
      <c r="E27">
        <v>68833.807000000001</v>
      </c>
      <c r="G27">
        <v>0.01</v>
      </c>
      <c r="I27">
        <v>100</v>
      </c>
      <c r="J27" t="s">
        <v>2968</v>
      </c>
    </row>
    <row r="28" spans="1:10">
      <c r="A28" t="s">
        <v>2973</v>
      </c>
      <c r="B28" t="s">
        <v>283</v>
      </c>
      <c r="C28">
        <v>3</v>
      </c>
      <c r="E28">
        <v>68833.857999999993</v>
      </c>
      <c r="G28">
        <v>1.2999999999999999E-2</v>
      </c>
      <c r="I28">
        <v>95</v>
      </c>
      <c r="J28" t="s">
        <v>2968</v>
      </c>
    </row>
    <row r="29" spans="1:10">
      <c r="A29" t="s">
        <v>2973</v>
      </c>
      <c r="B29" t="s">
        <v>283</v>
      </c>
      <c r="C29">
        <v>4</v>
      </c>
      <c r="E29">
        <v>68834.017000000007</v>
      </c>
      <c r="G29">
        <v>8.0000000000000002E-3</v>
      </c>
      <c r="I29">
        <v>100</v>
      </c>
      <c r="J29" t="s">
        <v>2968</v>
      </c>
    </row>
    <row r="30" spans="1:10">
      <c r="A30" t="s">
        <v>2973</v>
      </c>
      <c r="B30" t="s">
        <v>296</v>
      </c>
      <c r="C30">
        <v>3</v>
      </c>
      <c r="E30">
        <v>68834.228000000003</v>
      </c>
      <c r="G30">
        <v>0.01</v>
      </c>
      <c r="I30">
        <v>95</v>
      </c>
      <c r="J30" t="s">
        <v>2968</v>
      </c>
    </row>
    <row r="31" spans="1:10">
      <c r="A31" t="s">
        <v>2974</v>
      </c>
      <c r="B31" t="s">
        <v>509</v>
      </c>
      <c r="C31">
        <v>1</v>
      </c>
      <c r="E31">
        <v>69745.959000000003</v>
      </c>
      <c r="G31">
        <v>1.6000000000000001E-3</v>
      </c>
      <c r="I31">
        <v>100</v>
      </c>
      <c r="J31" t="s">
        <v>2961</v>
      </c>
    </row>
    <row r="32" spans="1:10">
      <c r="A32" t="s">
        <v>2974</v>
      </c>
      <c r="B32" t="s">
        <v>264</v>
      </c>
      <c r="C32">
        <v>0</v>
      </c>
      <c r="E32">
        <v>70003.736999999994</v>
      </c>
      <c r="G32">
        <v>4.0000000000000001E-3</v>
      </c>
      <c r="I32">
        <v>97</v>
      </c>
      <c r="J32" t="s">
        <v>2961</v>
      </c>
    </row>
    <row r="33" spans="1:10">
      <c r="A33" t="s">
        <v>2975</v>
      </c>
      <c r="B33" t="s">
        <v>282</v>
      </c>
      <c r="C33">
        <v>0</v>
      </c>
      <c r="E33">
        <v>70977.365000000005</v>
      </c>
      <c r="G33">
        <v>1.7000000000000001E-2</v>
      </c>
      <c r="I33">
        <v>100</v>
      </c>
      <c r="J33" t="s">
        <v>2968</v>
      </c>
    </row>
    <row r="34" spans="1:10">
      <c r="A34" t="s">
        <v>2975</v>
      </c>
      <c r="B34" t="s">
        <v>282</v>
      </c>
      <c r="C34">
        <v>1</v>
      </c>
      <c r="E34">
        <v>70982.100999999995</v>
      </c>
      <c r="G34">
        <v>8.9999999999999993E-3</v>
      </c>
      <c r="I34">
        <v>100</v>
      </c>
      <c r="J34" t="s">
        <v>2968</v>
      </c>
    </row>
    <row r="35" spans="1:10">
      <c r="A35" t="s">
        <v>2975</v>
      </c>
      <c r="B35" t="s">
        <v>282</v>
      </c>
      <c r="C35">
        <v>2</v>
      </c>
      <c r="E35">
        <v>70992.304000000004</v>
      </c>
      <c r="G35">
        <v>1.0999999999999999E-2</v>
      </c>
      <c r="I35">
        <v>100</v>
      </c>
      <c r="J35" t="s">
        <v>2968</v>
      </c>
    </row>
    <row r="36" spans="1:10">
      <c r="A36" t="s">
        <v>2976</v>
      </c>
      <c r="B36" t="s">
        <v>259</v>
      </c>
      <c r="C36">
        <v>2</v>
      </c>
      <c r="E36">
        <v>71051.039999999994</v>
      </c>
      <c r="G36">
        <v>0.01</v>
      </c>
      <c r="I36">
        <v>97</v>
      </c>
      <c r="J36" t="s">
        <v>2968</v>
      </c>
    </row>
    <row r="37" spans="1:10">
      <c r="A37" t="s">
        <v>2976</v>
      </c>
      <c r="B37" t="s">
        <v>257</v>
      </c>
      <c r="C37">
        <v>1</v>
      </c>
      <c r="E37">
        <v>71212.138000000006</v>
      </c>
      <c r="G37">
        <v>1.6000000000000001E-3</v>
      </c>
      <c r="I37">
        <v>100</v>
      </c>
      <c r="J37" t="s">
        <v>2961</v>
      </c>
    </row>
    <row r="38" spans="1:10">
      <c r="A38" t="s">
        <v>2976</v>
      </c>
      <c r="B38" t="s">
        <v>257</v>
      </c>
      <c r="C38">
        <v>2</v>
      </c>
      <c r="E38">
        <v>71212.974300000002</v>
      </c>
      <c r="G38">
        <v>1.5E-3</v>
      </c>
      <c r="I38">
        <v>100</v>
      </c>
      <c r="J38" t="s">
        <v>2961</v>
      </c>
    </row>
    <row r="39" spans="1:10">
      <c r="A39" t="s">
        <v>2976</v>
      </c>
      <c r="B39" t="s">
        <v>257</v>
      </c>
      <c r="C39">
        <v>3</v>
      </c>
      <c r="E39">
        <v>71214.243000000002</v>
      </c>
      <c r="G39">
        <v>2.0999999999999999E-3</v>
      </c>
      <c r="I39">
        <v>100</v>
      </c>
      <c r="J39" t="s">
        <v>2961</v>
      </c>
    </row>
    <row r="40" spans="1:10">
      <c r="A40" t="s">
        <v>2975</v>
      </c>
      <c r="B40" t="s">
        <v>303</v>
      </c>
      <c r="C40">
        <v>1</v>
      </c>
      <c r="E40">
        <v>71218.994000000006</v>
      </c>
      <c r="G40">
        <v>8.0000000000000002E-3</v>
      </c>
      <c r="I40">
        <v>97</v>
      </c>
      <c r="J40" t="s">
        <v>2966</v>
      </c>
    </row>
    <row r="41" spans="1:10">
      <c r="A41" t="s">
        <v>2977</v>
      </c>
      <c r="B41" t="s">
        <v>283</v>
      </c>
      <c r="C41">
        <v>2</v>
      </c>
      <c r="E41">
        <v>71335.845000000001</v>
      </c>
      <c r="G41">
        <v>1.4999999999999999E-2</v>
      </c>
      <c r="I41">
        <v>100</v>
      </c>
      <c r="J41" t="s">
        <v>2968</v>
      </c>
    </row>
    <row r="42" spans="1:10">
      <c r="A42" t="s">
        <v>2977</v>
      </c>
      <c r="B42" t="s">
        <v>283</v>
      </c>
      <c r="C42">
        <v>3</v>
      </c>
      <c r="E42">
        <v>71335.862999999998</v>
      </c>
      <c r="G42">
        <v>1.0999999999999999E-2</v>
      </c>
      <c r="I42">
        <v>95</v>
      </c>
      <c r="J42" t="s">
        <v>2968</v>
      </c>
    </row>
    <row r="43" spans="1:10">
      <c r="A43" t="s">
        <v>2977</v>
      </c>
      <c r="B43" t="s">
        <v>283</v>
      </c>
      <c r="C43">
        <v>4</v>
      </c>
      <c r="E43">
        <v>71335.981</v>
      </c>
      <c r="G43">
        <v>1.2999999999999999E-2</v>
      </c>
      <c r="I43">
        <v>100</v>
      </c>
      <c r="J43" t="s">
        <v>2968</v>
      </c>
    </row>
    <row r="44" spans="1:10">
      <c r="A44" t="s">
        <v>2977</v>
      </c>
      <c r="B44" t="s">
        <v>296</v>
      </c>
      <c r="C44">
        <v>3</v>
      </c>
      <c r="E44">
        <v>71336.126000000004</v>
      </c>
      <c r="G44">
        <v>5.0000000000000001E-3</v>
      </c>
      <c r="I44">
        <v>95</v>
      </c>
      <c r="J44" t="s">
        <v>2966</v>
      </c>
    </row>
    <row r="45" spans="1:10">
      <c r="A45" t="s">
        <v>2978</v>
      </c>
      <c r="B45" t="s">
        <v>269</v>
      </c>
      <c r="C45">
        <v>4</v>
      </c>
      <c r="E45">
        <v>71369.240000000005</v>
      </c>
      <c r="G45">
        <v>1.0999999999999999E-2</v>
      </c>
      <c r="I45">
        <v>72</v>
      </c>
      <c r="J45" t="s">
        <v>2968</v>
      </c>
    </row>
    <row r="46" spans="1:10">
      <c r="A46" t="s">
        <v>2978</v>
      </c>
      <c r="B46" t="s">
        <v>511</v>
      </c>
      <c r="C46">
        <v>3</v>
      </c>
      <c r="E46">
        <v>71369.240000000005</v>
      </c>
      <c r="G46">
        <v>0.01</v>
      </c>
      <c r="I46">
        <v>100</v>
      </c>
      <c r="J46" t="s">
        <v>2968</v>
      </c>
    </row>
    <row r="47" spans="1:10">
      <c r="A47" t="s">
        <v>2978</v>
      </c>
      <c r="B47" t="s">
        <v>511</v>
      </c>
      <c r="C47">
        <v>4</v>
      </c>
      <c r="E47">
        <v>71369.240000000005</v>
      </c>
      <c r="G47">
        <v>1.2E-2</v>
      </c>
      <c r="I47">
        <v>72</v>
      </c>
      <c r="J47" t="s">
        <v>2968</v>
      </c>
    </row>
    <row r="48" spans="1:10">
      <c r="A48" t="s">
        <v>2978</v>
      </c>
      <c r="B48" t="s">
        <v>511</v>
      </c>
      <c r="C48">
        <v>5</v>
      </c>
      <c r="E48">
        <v>71369.240000000005</v>
      </c>
      <c r="G48">
        <v>1.2E-2</v>
      </c>
      <c r="I48">
        <v>100</v>
      </c>
      <c r="J48" t="s">
        <v>2968</v>
      </c>
    </row>
    <row r="49" spans="1:10">
      <c r="A49" t="s">
        <v>2979</v>
      </c>
      <c r="B49" t="s">
        <v>509</v>
      </c>
      <c r="C49">
        <v>1</v>
      </c>
      <c r="E49">
        <v>71823.3</v>
      </c>
      <c r="G49">
        <v>0.5</v>
      </c>
      <c r="I49">
        <v>100</v>
      </c>
      <c r="J49" t="s">
        <v>2980</v>
      </c>
    </row>
    <row r="50" spans="1:10">
      <c r="A50" t="s">
        <v>2979</v>
      </c>
      <c r="B50" t="s">
        <v>264</v>
      </c>
      <c r="C50">
        <v>0</v>
      </c>
      <c r="E50">
        <v>71956.23</v>
      </c>
      <c r="G50">
        <v>0.21</v>
      </c>
      <c r="I50">
        <v>97</v>
      </c>
      <c r="J50" t="s">
        <v>2981</v>
      </c>
    </row>
    <row r="51" spans="1:10">
      <c r="A51" t="s">
        <v>2982</v>
      </c>
      <c r="B51" t="s">
        <v>282</v>
      </c>
      <c r="C51">
        <v>0</v>
      </c>
      <c r="E51">
        <v>72495.8</v>
      </c>
      <c r="G51">
        <v>0.16</v>
      </c>
      <c r="I51">
        <v>100</v>
      </c>
      <c r="J51" t="s">
        <v>2983</v>
      </c>
    </row>
    <row r="52" spans="1:10">
      <c r="A52" t="s">
        <v>2982</v>
      </c>
      <c r="B52" t="s">
        <v>282</v>
      </c>
      <c r="C52">
        <v>1</v>
      </c>
      <c r="E52">
        <v>72498.78</v>
      </c>
      <c r="G52">
        <v>0.11</v>
      </c>
      <c r="I52">
        <v>100</v>
      </c>
      <c r="J52" t="s">
        <v>2984</v>
      </c>
    </row>
    <row r="53" spans="1:10">
      <c r="A53" t="s">
        <v>2982</v>
      </c>
      <c r="B53" t="s">
        <v>282</v>
      </c>
      <c r="C53">
        <v>2</v>
      </c>
      <c r="E53">
        <v>72504.160000000003</v>
      </c>
      <c r="G53">
        <v>0.15</v>
      </c>
      <c r="I53">
        <v>100</v>
      </c>
      <c r="J53" t="s">
        <v>2985</v>
      </c>
    </row>
    <row r="54" spans="1:10">
      <c r="A54" t="s">
        <v>2986</v>
      </c>
      <c r="B54" t="s">
        <v>259</v>
      </c>
      <c r="C54">
        <v>2</v>
      </c>
      <c r="E54">
        <v>72517</v>
      </c>
      <c r="G54">
        <v>0.16</v>
      </c>
      <c r="I54">
        <v>97</v>
      </c>
      <c r="J54" t="s">
        <v>2987</v>
      </c>
    </row>
    <row r="55" spans="1:10">
      <c r="A55" t="s">
        <v>2986</v>
      </c>
      <c r="B55" t="s">
        <v>257</v>
      </c>
      <c r="C55">
        <v>1</v>
      </c>
      <c r="E55">
        <v>72626</v>
      </c>
      <c r="G55">
        <v>0.7</v>
      </c>
      <c r="I55">
        <v>100</v>
      </c>
      <c r="J55" t="s">
        <v>2980</v>
      </c>
    </row>
    <row r="56" spans="1:10">
      <c r="A56" t="s">
        <v>2986</v>
      </c>
      <c r="B56" t="s">
        <v>257</v>
      </c>
      <c r="C56">
        <v>2</v>
      </c>
      <c r="E56">
        <v>72626</v>
      </c>
      <c r="G56">
        <v>0.7</v>
      </c>
      <c r="I56">
        <v>100</v>
      </c>
      <c r="J56" t="s">
        <v>2980</v>
      </c>
    </row>
    <row r="57" spans="1:10">
      <c r="A57" t="s">
        <v>2986</v>
      </c>
      <c r="B57" t="s">
        <v>257</v>
      </c>
      <c r="C57">
        <v>3</v>
      </c>
      <c r="E57">
        <v>72627.05</v>
      </c>
      <c r="G57">
        <v>0.33</v>
      </c>
      <c r="I57">
        <v>100</v>
      </c>
      <c r="J57" t="s">
        <v>2981</v>
      </c>
    </row>
    <row r="58" spans="1:10">
      <c r="A58" t="s">
        <v>2982</v>
      </c>
      <c r="B58" t="s">
        <v>303</v>
      </c>
      <c r="C58">
        <v>1</v>
      </c>
      <c r="E58">
        <v>72626.34</v>
      </c>
      <c r="G58">
        <v>0.16</v>
      </c>
      <c r="I58">
        <v>98</v>
      </c>
      <c r="J58" t="s">
        <v>2987</v>
      </c>
    </row>
    <row r="59" spans="1:10">
      <c r="A59" t="s">
        <v>2988</v>
      </c>
      <c r="B59" t="s">
        <v>283</v>
      </c>
      <c r="C59">
        <v>2</v>
      </c>
      <c r="E59">
        <v>72694.179999999993</v>
      </c>
      <c r="G59">
        <v>0.2</v>
      </c>
      <c r="I59">
        <v>100</v>
      </c>
      <c r="J59" t="s">
        <v>2989</v>
      </c>
    </row>
    <row r="60" spans="1:10">
      <c r="A60" t="s">
        <v>2988</v>
      </c>
      <c r="B60" t="s">
        <v>283</v>
      </c>
      <c r="C60">
        <v>3</v>
      </c>
      <c r="E60">
        <v>72694.179999999993</v>
      </c>
      <c r="G60">
        <v>0.28000000000000003</v>
      </c>
      <c r="I60">
        <v>95</v>
      </c>
      <c r="J60" t="s">
        <v>2989</v>
      </c>
    </row>
    <row r="61" spans="1:10">
      <c r="A61" t="s">
        <v>2988</v>
      </c>
      <c r="B61" t="s">
        <v>283</v>
      </c>
      <c r="C61">
        <v>4</v>
      </c>
      <c r="E61">
        <v>72694.179999999993</v>
      </c>
      <c r="G61">
        <v>0.02</v>
      </c>
      <c r="I61">
        <v>100</v>
      </c>
      <c r="J61" t="s">
        <v>2968</v>
      </c>
    </row>
    <row r="62" spans="1:10">
      <c r="A62" t="s">
        <v>2988</v>
      </c>
      <c r="B62" t="s">
        <v>296</v>
      </c>
      <c r="C62">
        <v>3</v>
      </c>
      <c r="E62">
        <v>72694.313999999998</v>
      </c>
      <c r="G62">
        <v>1.2E-2</v>
      </c>
      <c r="I62">
        <v>95</v>
      </c>
      <c r="J62" t="s">
        <v>2968</v>
      </c>
    </row>
    <row r="63" spans="1:10">
      <c r="A63" t="s">
        <v>2990</v>
      </c>
      <c r="B63" t="s">
        <v>511</v>
      </c>
      <c r="C63">
        <v>4</v>
      </c>
      <c r="E63">
        <v>72714.244999999995</v>
      </c>
      <c r="G63">
        <v>1.4999999999999999E-2</v>
      </c>
      <c r="I63">
        <v>83</v>
      </c>
      <c r="J63" t="s">
        <v>2968</v>
      </c>
    </row>
    <row r="64" spans="1:10">
      <c r="A64" t="s">
        <v>2990</v>
      </c>
      <c r="B64" t="s">
        <v>511</v>
      </c>
      <c r="C64">
        <v>5</v>
      </c>
      <c r="E64">
        <v>72714.244999999995</v>
      </c>
      <c r="G64">
        <v>1.4999999999999999E-2</v>
      </c>
      <c r="I64">
        <v>100</v>
      </c>
      <c r="J64" t="s">
        <v>2968</v>
      </c>
    </row>
    <row r="65" spans="1:10">
      <c r="A65" t="s">
        <v>2990</v>
      </c>
      <c r="B65" t="s">
        <v>511</v>
      </c>
      <c r="C65">
        <v>3</v>
      </c>
      <c r="E65">
        <v>72714.244999999995</v>
      </c>
      <c r="G65">
        <v>1.2999999999999999E-2</v>
      </c>
      <c r="I65">
        <v>100</v>
      </c>
      <c r="J65" t="s">
        <v>2968</v>
      </c>
    </row>
    <row r="66" spans="1:10">
      <c r="A66" t="s">
        <v>2990</v>
      </c>
      <c r="B66" t="s">
        <v>269</v>
      </c>
      <c r="C66">
        <v>4</v>
      </c>
      <c r="E66">
        <v>72714.244999999995</v>
      </c>
      <c r="G66">
        <v>1.4E-2</v>
      </c>
      <c r="I66">
        <v>83</v>
      </c>
      <c r="J66" t="s">
        <v>2968</v>
      </c>
    </row>
    <row r="67" spans="1:10">
      <c r="A67" t="s">
        <v>2991</v>
      </c>
      <c r="B67" t="s">
        <v>2992</v>
      </c>
      <c r="C67">
        <v>5</v>
      </c>
      <c r="E67">
        <v>72718.827000000005</v>
      </c>
      <c r="G67">
        <v>1.6E-2</v>
      </c>
      <c r="I67" t="s">
        <v>2993</v>
      </c>
      <c r="J67" t="s">
        <v>2968</v>
      </c>
    </row>
    <row r="68" spans="1:10">
      <c r="A68" t="s">
        <v>2991</v>
      </c>
      <c r="B68" t="s">
        <v>2992</v>
      </c>
      <c r="C68">
        <v>6</v>
      </c>
      <c r="E68">
        <v>72718.827000000005</v>
      </c>
      <c r="G68">
        <v>1.6E-2</v>
      </c>
      <c r="I68" t="s">
        <v>2994</v>
      </c>
      <c r="J68" t="s">
        <v>2968</v>
      </c>
    </row>
    <row r="69" spans="1:10">
      <c r="A69" t="s">
        <v>2991</v>
      </c>
      <c r="B69" t="s">
        <v>2995</v>
      </c>
      <c r="C69">
        <v>4</v>
      </c>
      <c r="E69">
        <v>72718.827000000005</v>
      </c>
      <c r="G69">
        <v>1.4999999999999999E-2</v>
      </c>
      <c r="I69" t="s">
        <v>2994</v>
      </c>
      <c r="J69" t="s">
        <v>2968</v>
      </c>
    </row>
    <row r="70" spans="1:10">
      <c r="A70" t="s">
        <v>2991</v>
      </c>
      <c r="B70" t="s">
        <v>2995</v>
      </c>
      <c r="C70">
        <v>5</v>
      </c>
      <c r="E70">
        <v>72718.827000000005</v>
      </c>
      <c r="G70">
        <v>1.6E-2</v>
      </c>
      <c r="I70" t="s">
        <v>2996</v>
      </c>
      <c r="J70" t="s">
        <v>2968</v>
      </c>
    </row>
    <row r="71" spans="1:10">
      <c r="A71" t="s">
        <v>2997</v>
      </c>
      <c r="B71" t="s">
        <v>509</v>
      </c>
      <c r="C71">
        <v>1</v>
      </c>
      <c r="E71">
        <v>72985.399999999994</v>
      </c>
      <c r="G71">
        <v>0.6</v>
      </c>
      <c r="I71">
        <v>100</v>
      </c>
      <c r="J71" t="s">
        <v>2980</v>
      </c>
    </row>
    <row r="72" spans="1:10">
      <c r="A72" t="s">
        <v>2997</v>
      </c>
      <c r="B72" t="s">
        <v>264</v>
      </c>
      <c r="C72">
        <v>0</v>
      </c>
      <c r="E72">
        <v>73060.66</v>
      </c>
      <c r="G72">
        <v>0.22</v>
      </c>
      <c r="I72">
        <v>96</v>
      </c>
      <c r="J72" t="s">
        <v>2981</v>
      </c>
    </row>
    <row r="73" spans="1:10">
      <c r="A73" t="s">
        <v>2998</v>
      </c>
      <c r="B73" t="s">
        <v>282</v>
      </c>
      <c r="C73">
        <v>0</v>
      </c>
      <c r="E73">
        <v>73390.69</v>
      </c>
      <c r="G73">
        <v>0.23</v>
      </c>
      <c r="I73">
        <v>100</v>
      </c>
      <c r="J73" t="s">
        <v>2980</v>
      </c>
    </row>
    <row r="74" spans="1:10">
      <c r="A74" t="s">
        <v>2998</v>
      </c>
      <c r="B74" t="s">
        <v>282</v>
      </c>
      <c r="C74">
        <v>1</v>
      </c>
      <c r="E74">
        <v>73392.83</v>
      </c>
      <c r="G74">
        <v>0.12</v>
      </c>
      <c r="I74">
        <v>100</v>
      </c>
      <c r="J74" t="s">
        <v>2984</v>
      </c>
    </row>
    <row r="75" spans="1:10">
      <c r="A75" t="s">
        <v>2998</v>
      </c>
      <c r="B75" t="s">
        <v>282</v>
      </c>
      <c r="C75">
        <v>2</v>
      </c>
      <c r="E75">
        <v>73395.839999999997</v>
      </c>
      <c r="G75">
        <v>0.17</v>
      </c>
      <c r="I75">
        <v>100</v>
      </c>
      <c r="J75" t="s">
        <v>2981</v>
      </c>
    </row>
    <row r="76" spans="1:10">
      <c r="A76" t="s">
        <v>2999</v>
      </c>
      <c r="B76" t="s">
        <v>259</v>
      </c>
      <c r="C76">
        <v>2</v>
      </c>
      <c r="E76">
        <v>73395.33</v>
      </c>
      <c r="G76">
        <v>0.03</v>
      </c>
      <c r="I76">
        <v>97</v>
      </c>
      <c r="J76" t="s">
        <v>2987</v>
      </c>
    </row>
    <row r="77" spans="1:10">
      <c r="A77" t="s">
        <v>2998</v>
      </c>
      <c r="B77" t="s">
        <v>303</v>
      </c>
      <c r="C77">
        <v>1</v>
      </c>
      <c r="E77">
        <v>73469.39</v>
      </c>
      <c r="G77">
        <v>0.16</v>
      </c>
      <c r="I77">
        <v>98</v>
      </c>
      <c r="J77" t="s">
        <v>2987</v>
      </c>
    </row>
    <row r="78" spans="1:10">
      <c r="A78" t="s">
        <v>2999</v>
      </c>
      <c r="B78" t="s">
        <v>257</v>
      </c>
      <c r="C78">
        <v>1</v>
      </c>
      <c r="E78">
        <v>73471</v>
      </c>
      <c r="G78">
        <v>0.9</v>
      </c>
      <c r="I78">
        <v>100</v>
      </c>
    </row>
    <row r="79" spans="1:10">
      <c r="A79" t="s">
        <v>2999</v>
      </c>
      <c r="B79" t="s">
        <v>257</v>
      </c>
      <c r="C79">
        <v>2</v>
      </c>
      <c r="E79">
        <v>73471</v>
      </c>
      <c r="G79">
        <v>0.7</v>
      </c>
      <c r="I79">
        <v>100</v>
      </c>
      <c r="J79" t="s">
        <v>2980</v>
      </c>
    </row>
    <row r="80" spans="1:10">
      <c r="A80" t="s">
        <v>2999</v>
      </c>
      <c r="B80" t="s">
        <v>257</v>
      </c>
      <c r="C80">
        <v>3</v>
      </c>
      <c r="E80">
        <v>73471</v>
      </c>
      <c r="G80">
        <v>0.7</v>
      </c>
      <c r="I80">
        <v>100</v>
      </c>
      <c r="J80" t="s">
        <v>2980</v>
      </c>
    </row>
    <row r="81" spans="1:10">
      <c r="A81" t="s">
        <v>3000</v>
      </c>
      <c r="B81" t="s">
        <v>283</v>
      </c>
      <c r="C81">
        <v>2</v>
      </c>
      <c r="E81">
        <v>73500.399999999994</v>
      </c>
      <c r="G81">
        <v>1.7</v>
      </c>
      <c r="I81">
        <v>100</v>
      </c>
      <c r="J81" t="s">
        <v>2989</v>
      </c>
    </row>
    <row r="82" spans="1:10">
      <c r="A82" t="s">
        <v>3000</v>
      </c>
      <c r="B82" t="s">
        <v>283</v>
      </c>
      <c r="C82">
        <v>3</v>
      </c>
      <c r="E82">
        <v>73500.399999999994</v>
      </c>
      <c r="G82">
        <v>1.7</v>
      </c>
      <c r="I82">
        <v>95</v>
      </c>
      <c r="J82" t="s">
        <v>2989</v>
      </c>
    </row>
    <row r="83" spans="1:10">
      <c r="A83" t="s">
        <v>3000</v>
      </c>
      <c r="B83" t="s">
        <v>283</v>
      </c>
      <c r="C83">
        <v>4</v>
      </c>
      <c r="E83">
        <v>73500.399999999994</v>
      </c>
      <c r="G83">
        <v>1.7</v>
      </c>
      <c r="I83">
        <v>100</v>
      </c>
      <c r="J83" t="s">
        <v>2989</v>
      </c>
    </row>
    <row r="84" spans="1:10">
      <c r="A84" t="s">
        <v>3000</v>
      </c>
      <c r="B84" t="s">
        <v>296</v>
      </c>
      <c r="C84">
        <v>3</v>
      </c>
      <c r="E84">
        <v>73500.399999999994</v>
      </c>
      <c r="G84">
        <v>1.7</v>
      </c>
      <c r="I84">
        <v>95</v>
      </c>
    </row>
    <row r="85" spans="1:10">
      <c r="A85" t="s">
        <v>3001</v>
      </c>
      <c r="B85" t="s">
        <v>511</v>
      </c>
      <c r="C85">
        <v>4</v>
      </c>
      <c r="E85">
        <v>73525.198999999993</v>
      </c>
      <c r="G85">
        <v>2.1999999999999999E-2</v>
      </c>
      <c r="I85">
        <v>89</v>
      </c>
      <c r="J85" t="s">
        <v>2989</v>
      </c>
    </row>
    <row r="86" spans="1:10">
      <c r="A86" t="s">
        <v>3001</v>
      </c>
      <c r="B86" t="s">
        <v>511</v>
      </c>
      <c r="C86">
        <v>5</v>
      </c>
      <c r="E86">
        <v>73525.198999999993</v>
      </c>
      <c r="G86">
        <v>2.1999999999999999E-2</v>
      </c>
      <c r="I86">
        <v>100</v>
      </c>
      <c r="J86" t="s">
        <v>2989</v>
      </c>
    </row>
    <row r="87" spans="1:10">
      <c r="A87" t="s">
        <v>3001</v>
      </c>
      <c r="B87" t="s">
        <v>511</v>
      </c>
      <c r="C87">
        <v>3</v>
      </c>
      <c r="E87">
        <v>73525.198999999993</v>
      </c>
      <c r="G87">
        <v>2.1000000000000001E-2</v>
      </c>
      <c r="I87">
        <v>100</v>
      </c>
      <c r="J87" t="s">
        <v>2989</v>
      </c>
    </row>
    <row r="88" spans="1:10">
      <c r="A88" t="s">
        <v>3001</v>
      </c>
      <c r="B88" t="s">
        <v>269</v>
      </c>
      <c r="C88">
        <v>4</v>
      </c>
      <c r="E88">
        <v>73525.198999999993</v>
      </c>
      <c r="G88">
        <v>2.1999999999999999E-2</v>
      </c>
      <c r="I88">
        <v>89</v>
      </c>
      <c r="J88" t="s">
        <v>2968</v>
      </c>
    </row>
    <row r="89" spans="1:10">
      <c r="A89" t="s">
        <v>3002</v>
      </c>
      <c r="B89" t="s">
        <v>2992</v>
      </c>
      <c r="C89">
        <v>5</v>
      </c>
      <c r="E89">
        <v>73528.205000000002</v>
      </c>
      <c r="G89">
        <v>1.4E-2</v>
      </c>
      <c r="I89" t="s">
        <v>2993</v>
      </c>
      <c r="J89" t="s">
        <v>2968</v>
      </c>
    </row>
    <row r="90" spans="1:10">
      <c r="A90" t="s">
        <v>3002</v>
      </c>
      <c r="B90" t="s">
        <v>2992</v>
      </c>
      <c r="C90">
        <v>6</v>
      </c>
      <c r="E90">
        <v>73528.205000000002</v>
      </c>
      <c r="G90">
        <v>1.4E-2</v>
      </c>
      <c r="I90" t="s">
        <v>2994</v>
      </c>
      <c r="J90" t="s">
        <v>2968</v>
      </c>
    </row>
    <row r="91" spans="1:10">
      <c r="A91" t="s">
        <v>3002</v>
      </c>
      <c r="B91" t="s">
        <v>2995</v>
      </c>
      <c r="C91">
        <v>4</v>
      </c>
      <c r="E91">
        <v>73528.205000000002</v>
      </c>
      <c r="G91">
        <v>1.4E-2</v>
      </c>
      <c r="I91" t="s">
        <v>2994</v>
      </c>
      <c r="J91" t="s">
        <v>2989</v>
      </c>
    </row>
    <row r="92" spans="1:10">
      <c r="A92" t="s">
        <v>3002</v>
      </c>
      <c r="B92" t="s">
        <v>2995</v>
      </c>
      <c r="C92">
        <v>5</v>
      </c>
      <c r="E92">
        <v>73528.205000000002</v>
      </c>
      <c r="G92">
        <v>1.4E-2</v>
      </c>
      <c r="I92" t="s">
        <v>2996</v>
      </c>
      <c r="J92" t="s">
        <v>2989</v>
      </c>
    </row>
    <row r="93" spans="1:10">
      <c r="A93" t="s">
        <v>3003</v>
      </c>
      <c r="B93" t="s">
        <v>3004</v>
      </c>
      <c r="C93">
        <v>5</v>
      </c>
      <c r="E93">
        <v>73555</v>
      </c>
      <c r="G93">
        <v>3</v>
      </c>
      <c r="I93" t="s">
        <v>3005</v>
      </c>
      <c r="J93" t="s">
        <v>2989</v>
      </c>
    </row>
    <row r="94" spans="1:10">
      <c r="A94" t="s">
        <v>3003</v>
      </c>
      <c r="B94" t="s">
        <v>3004</v>
      </c>
      <c r="C94">
        <v>6</v>
      </c>
      <c r="E94">
        <v>73555</v>
      </c>
      <c r="G94">
        <v>3</v>
      </c>
      <c r="I94" t="s">
        <v>3006</v>
      </c>
      <c r="J94" t="s">
        <v>2989</v>
      </c>
    </row>
    <row r="95" spans="1:10">
      <c r="A95" t="s">
        <v>3003</v>
      </c>
      <c r="B95" t="s">
        <v>3007</v>
      </c>
      <c r="C95">
        <v>7</v>
      </c>
      <c r="E95">
        <v>73555</v>
      </c>
      <c r="G95">
        <v>3</v>
      </c>
      <c r="I95" t="s">
        <v>3005</v>
      </c>
      <c r="J95" t="s">
        <v>2989</v>
      </c>
    </row>
    <row r="96" spans="1:10">
      <c r="A96" t="s">
        <v>3003</v>
      </c>
      <c r="B96" t="s">
        <v>3007</v>
      </c>
      <c r="C96">
        <v>6</v>
      </c>
      <c r="E96">
        <v>73555</v>
      </c>
      <c r="G96">
        <v>3</v>
      </c>
      <c r="I96" t="s">
        <v>3008</v>
      </c>
    </row>
    <row r="97" spans="1:10">
      <c r="A97" t="s">
        <v>3009</v>
      </c>
      <c r="B97" t="s">
        <v>509</v>
      </c>
      <c r="C97">
        <v>1</v>
      </c>
      <c r="E97">
        <v>73698.600000000006</v>
      </c>
      <c r="G97">
        <v>0.6</v>
      </c>
      <c r="I97">
        <v>100</v>
      </c>
      <c r="J97" t="s">
        <v>2980</v>
      </c>
    </row>
    <row r="98" spans="1:10">
      <c r="A98" t="s">
        <v>3010</v>
      </c>
      <c r="B98" t="s">
        <v>259</v>
      </c>
      <c r="C98">
        <v>2</v>
      </c>
      <c r="E98">
        <v>73961.87</v>
      </c>
      <c r="G98">
        <v>0.16</v>
      </c>
      <c r="I98">
        <v>97</v>
      </c>
      <c r="J98" t="s">
        <v>2987</v>
      </c>
    </row>
    <row r="99" spans="1:10">
      <c r="A99" t="s">
        <v>3011</v>
      </c>
      <c r="B99" t="s">
        <v>282</v>
      </c>
      <c r="C99">
        <v>1</v>
      </c>
      <c r="E99">
        <v>73964.34</v>
      </c>
      <c r="G99">
        <v>0.16</v>
      </c>
      <c r="I99">
        <v>100</v>
      </c>
      <c r="J99" t="s">
        <v>2987</v>
      </c>
    </row>
    <row r="100" spans="1:10">
      <c r="A100" t="s">
        <v>3011</v>
      </c>
      <c r="B100" t="s">
        <v>303</v>
      </c>
      <c r="C100">
        <v>1</v>
      </c>
      <c r="E100">
        <v>74013.88</v>
      </c>
      <c r="G100">
        <v>0.16</v>
      </c>
      <c r="I100">
        <v>99</v>
      </c>
      <c r="J100" t="s">
        <v>2987</v>
      </c>
    </row>
    <row r="101" spans="1:10">
      <c r="A101" t="s">
        <v>3010</v>
      </c>
      <c r="B101" t="s">
        <v>257</v>
      </c>
      <c r="C101">
        <v>2</v>
      </c>
      <c r="E101">
        <v>74015.5</v>
      </c>
      <c r="G101">
        <v>0.6</v>
      </c>
      <c r="I101">
        <v>100</v>
      </c>
      <c r="J101" t="s">
        <v>2980</v>
      </c>
    </row>
    <row r="102" spans="1:10">
      <c r="A102" t="s">
        <v>3010</v>
      </c>
      <c r="B102" t="s">
        <v>257</v>
      </c>
      <c r="C102">
        <v>1</v>
      </c>
      <c r="E102">
        <v>74015.5</v>
      </c>
      <c r="G102">
        <v>0.6</v>
      </c>
      <c r="I102">
        <v>100</v>
      </c>
      <c r="J102" t="s">
        <v>2980</v>
      </c>
    </row>
    <row r="103" spans="1:10">
      <c r="A103" t="s">
        <v>3010</v>
      </c>
      <c r="B103" t="s">
        <v>257</v>
      </c>
      <c r="C103">
        <v>3</v>
      </c>
      <c r="E103">
        <v>74015.5</v>
      </c>
      <c r="G103">
        <v>0.6</v>
      </c>
      <c r="I103">
        <v>100</v>
      </c>
      <c r="J103" t="s">
        <v>2980</v>
      </c>
    </row>
    <row r="104" spans="1:10">
      <c r="A104" t="s">
        <v>3012</v>
      </c>
      <c r="B104" t="s">
        <v>283</v>
      </c>
      <c r="E104">
        <v>74025</v>
      </c>
      <c r="G104">
        <v>3</v>
      </c>
      <c r="I104" t="s">
        <v>3013</v>
      </c>
      <c r="J104" t="s">
        <v>2989</v>
      </c>
    </row>
    <row r="105" spans="1:10">
      <c r="A105" t="s">
        <v>3014</v>
      </c>
      <c r="B105" t="s">
        <v>511</v>
      </c>
      <c r="C105">
        <v>3</v>
      </c>
      <c r="E105">
        <v>74040.399999999994</v>
      </c>
      <c r="G105">
        <v>1.8</v>
      </c>
      <c r="I105">
        <v>100</v>
      </c>
      <c r="J105" t="s">
        <v>2989</v>
      </c>
    </row>
    <row r="106" spans="1:10">
      <c r="A106" t="s">
        <v>3014</v>
      </c>
      <c r="B106" t="s">
        <v>511</v>
      </c>
      <c r="C106">
        <v>4</v>
      </c>
      <c r="E106">
        <v>74040.399999999994</v>
      </c>
      <c r="G106">
        <v>1.8</v>
      </c>
      <c r="I106">
        <v>90</v>
      </c>
      <c r="J106" t="s">
        <v>2989</v>
      </c>
    </row>
    <row r="107" spans="1:10">
      <c r="A107" t="s">
        <v>3014</v>
      </c>
      <c r="B107" t="s">
        <v>511</v>
      </c>
      <c r="C107">
        <v>5</v>
      </c>
      <c r="E107">
        <v>74040.399999999994</v>
      </c>
      <c r="G107">
        <v>1.8</v>
      </c>
      <c r="I107">
        <v>100</v>
      </c>
      <c r="J107" t="s">
        <v>2989</v>
      </c>
    </row>
    <row r="108" spans="1:10">
      <c r="A108" t="s">
        <v>3014</v>
      </c>
      <c r="B108" t="s">
        <v>269</v>
      </c>
      <c r="C108">
        <v>4</v>
      </c>
      <c r="E108">
        <v>74040.399999999994</v>
      </c>
      <c r="G108">
        <v>1.8</v>
      </c>
      <c r="I108">
        <v>90</v>
      </c>
    </row>
    <row r="109" spans="1:10">
      <c r="A109" t="s">
        <v>3015</v>
      </c>
      <c r="B109" t="s">
        <v>2992</v>
      </c>
      <c r="C109">
        <v>5</v>
      </c>
      <c r="E109">
        <v>74053.531000000003</v>
      </c>
      <c r="G109">
        <v>2.3E-2</v>
      </c>
      <c r="I109" t="s">
        <v>2993</v>
      </c>
      <c r="J109" t="s">
        <v>2968</v>
      </c>
    </row>
    <row r="110" spans="1:10">
      <c r="A110" t="s">
        <v>3015</v>
      </c>
      <c r="B110" t="s">
        <v>2992</v>
      </c>
      <c r="C110">
        <v>6</v>
      </c>
      <c r="E110">
        <v>74053.531000000003</v>
      </c>
      <c r="G110">
        <v>2.1999999999999999E-2</v>
      </c>
      <c r="I110" t="s">
        <v>2994</v>
      </c>
      <c r="J110" t="s">
        <v>2968</v>
      </c>
    </row>
    <row r="111" spans="1:10">
      <c r="A111" t="s">
        <v>3015</v>
      </c>
      <c r="B111" t="s">
        <v>2995</v>
      </c>
      <c r="C111">
        <v>5</v>
      </c>
      <c r="E111">
        <v>74053.531000000003</v>
      </c>
      <c r="G111">
        <v>2.3E-2</v>
      </c>
      <c r="I111" t="s">
        <v>2996</v>
      </c>
      <c r="J111" t="s">
        <v>2968</v>
      </c>
    </row>
    <row r="112" spans="1:10">
      <c r="A112" t="s">
        <v>3015</v>
      </c>
      <c r="B112" t="s">
        <v>2995</v>
      </c>
      <c r="C112">
        <v>4</v>
      </c>
      <c r="E112">
        <v>74053.531000000003</v>
      </c>
      <c r="G112">
        <v>2.1999999999999999E-2</v>
      </c>
      <c r="I112" t="s">
        <v>2994</v>
      </c>
      <c r="J112" t="s">
        <v>2968</v>
      </c>
    </row>
    <row r="113" spans="1:10">
      <c r="A113" t="s">
        <v>3016</v>
      </c>
      <c r="B113" t="s">
        <v>3004</v>
      </c>
      <c r="C113">
        <v>5</v>
      </c>
      <c r="E113">
        <v>74065</v>
      </c>
      <c r="G113">
        <v>4</v>
      </c>
      <c r="I113" t="s">
        <v>3005</v>
      </c>
      <c r="J113" t="s">
        <v>2989</v>
      </c>
    </row>
    <row r="114" spans="1:10">
      <c r="A114" t="s">
        <v>3016</v>
      </c>
      <c r="B114" t="s">
        <v>3004</v>
      </c>
      <c r="C114">
        <v>6</v>
      </c>
      <c r="E114">
        <v>74065</v>
      </c>
      <c r="G114">
        <v>4</v>
      </c>
      <c r="I114" t="s">
        <v>3017</v>
      </c>
      <c r="J114" t="s">
        <v>2989</v>
      </c>
    </row>
    <row r="115" spans="1:10">
      <c r="A115" t="s">
        <v>3016</v>
      </c>
      <c r="B115" t="s">
        <v>3007</v>
      </c>
      <c r="C115">
        <v>7</v>
      </c>
      <c r="E115">
        <v>74065</v>
      </c>
      <c r="G115">
        <v>4</v>
      </c>
      <c r="I115" t="s">
        <v>3005</v>
      </c>
    </row>
    <row r="116" spans="1:10">
      <c r="A116" t="s">
        <v>3016</v>
      </c>
      <c r="B116" t="s">
        <v>3007</v>
      </c>
      <c r="C116">
        <v>6</v>
      </c>
      <c r="E116">
        <v>74065</v>
      </c>
      <c r="G116">
        <v>4</v>
      </c>
      <c r="I116" t="s">
        <v>3018</v>
      </c>
    </row>
    <row r="117" spans="1:10">
      <c r="A117" t="s">
        <v>3019</v>
      </c>
      <c r="B117" t="s">
        <v>509</v>
      </c>
      <c r="C117">
        <v>1</v>
      </c>
      <c r="E117">
        <v>74169</v>
      </c>
      <c r="G117">
        <v>0.6</v>
      </c>
      <c r="I117">
        <v>100</v>
      </c>
      <c r="J117" t="s">
        <v>2980</v>
      </c>
    </row>
    <row r="118" spans="1:10">
      <c r="A118" t="s">
        <v>3020</v>
      </c>
      <c r="B118" t="s">
        <v>259</v>
      </c>
      <c r="C118">
        <v>2</v>
      </c>
      <c r="E118">
        <v>74348.17</v>
      </c>
      <c r="G118">
        <v>0.33</v>
      </c>
      <c r="I118">
        <v>98</v>
      </c>
      <c r="J118" t="s">
        <v>2987</v>
      </c>
    </row>
    <row r="119" spans="1:10">
      <c r="A119" t="s">
        <v>3021</v>
      </c>
      <c r="B119" t="s">
        <v>282</v>
      </c>
      <c r="C119">
        <v>1</v>
      </c>
      <c r="E119">
        <v>74351.87</v>
      </c>
      <c r="G119">
        <v>0.17</v>
      </c>
      <c r="I119" t="s">
        <v>3013</v>
      </c>
      <c r="J119" t="s">
        <v>2987</v>
      </c>
    </row>
    <row r="120" spans="1:10">
      <c r="A120" t="s">
        <v>3021</v>
      </c>
      <c r="B120" t="s">
        <v>303</v>
      </c>
      <c r="C120">
        <v>1</v>
      </c>
      <c r="E120">
        <v>74385.78</v>
      </c>
      <c r="G120">
        <v>0.17</v>
      </c>
      <c r="I120" t="s">
        <v>3013</v>
      </c>
      <c r="J120" t="s">
        <v>2987</v>
      </c>
    </row>
    <row r="121" spans="1:10">
      <c r="A121" t="s">
        <v>3020</v>
      </c>
      <c r="B121" t="s">
        <v>257</v>
      </c>
      <c r="C121">
        <v>1</v>
      </c>
      <c r="E121">
        <v>74386.42</v>
      </c>
      <c r="G121">
        <v>0.19</v>
      </c>
      <c r="I121">
        <v>100</v>
      </c>
      <c r="J121" t="s">
        <v>3022</v>
      </c>
    </row>
    <row r="122" spans="1:10">
      <c r="A122" t="s">
        <v>3020</v>
      </c>
      <c r="B122" t="s">
        <v>257</v>
      </c>
      <c r="C122">
        <v>2</v>
      </c>
      <c r="E122">
        <v>74386.570000000007</v>
      </c>
      <c r="G122">
        <v>0.21</v>
      </c>
      <c r="I122">
        <v>100</v>
      </c>
      <c r="J122" t="s">
        <v>2980</v>
      </c>
    </row>
    <row r="123" spans="1:10">
      <c r="A123" t="s">
        <v>3020</v>
      </c>
      <c r="B123" t="s">
        <v>257</v>
      </c>
      <c r="C123">
        <v>3</v>
      </c>
      <c r="E123">
        <v>74386.87</v>
      </c>
      <c r="G123">
        <v>0.21</v>
      </c>
      <c r="I123">
        <v>100</v>
      </c>
      <c r="J123" t="s">
        <v>2980</v>
      </c>
    </row>
    <row r="124" spans="1:10">
      <c r="A124" t="s">
        <v>3023</v>
      </c>
      <c r="B124" t="s">
        <v>2995</v>
      </c>
      <c r="C124">
        <v>4</v>
      </c>
      <c r="E124">
        <v>74409</v>
      </c>
      <c r="G124">
        <v>4</v>
      </c>
      <c r="I124" t="s">
        <v>2994</v>
      </c>
      <c r="J124" t="s">
        <v>2989</v>
      </c>
    </row>
    <row r="125" spans="1:10">
      <c r="A125" t="s">
        <v>3023</v>
      </c>
      <c r="B125" t="s">
        <v>2995</v>
      </c>
      <c r="C125">
        <v>5</v>
      </c>
      <c r="E125">
        <v>74409</v>
      </c>
      <c r="G125">
        <v>4</v>
      </c>
      <c r="I125" t="s">
        <v>3024</v>
      </c>
      <c r="J125" t="s">
        <v>2989</v>
      </c>
    </row>
    <row r="126" spans="1:10">
      <c r="A126" t="s">
        <v>3023</v>
      </c>
      <c r="B126" t="s">
        <v>2992</v>
      </c>
      <c r="C126">
        <v>6</v>
      </c>
      <c r="E126">
        <v>74409</v>
      </c>
      <c r="G126">
        <v>4</v>
      </c>
      <c r="I126" t="s">
        <v>2994</v>
      </c>
      <c r="J126" t="s">
        <v>2989</v>
      </c>
    </row>
    <row r="127" spans="1:10">
      <c r="A127" t="s">
        <v>3023</v>
      </c>
      <c r="B127" t="s">
        <v>2992</v>
      </c>
      <c r="C127">
        <v>5</v>
      </c>
      <c r="E127">
        <v>74409</v>
      </c>
      <c r="G127">
        <v>4</v>
      </c>
      <c r="I127" t="s">
        <v>3025</v>
      </c>
    </row>
    <row r="128" spans="1:10">
      <c r="A128" t="s">
        <v>3026</v>
      </c>
      <c r="B128" t="s">
        <v>509</v>
      </c>
      <c r="C128">
        <v>1</v>
      </c>
      <c r="E128">
        <v>74495.399999999994</v>
      </c>
      <c r="G128">
        <v>1</v>
      </c>
      <c r="I128">
        <v>100</v>
      </c>
      <c r="J128" t="s">
        <v>2980</v>
      </c>
    </row>
    <row r="129" spans="1:10">
      <c r="A129" t="s">
        <v>3027</v>
      </c>
      <c r="B129" t="s">
        <v>259</v>
      </c>
      <c r="C129">
        <v>2</v>
      </c>
      <c r="E129">
        <v>74622.740000000005</v>
      </c>
      <c r="G129">
        <v>0.17</v>
      </c>
      <c r="I129">
        <v>98</v>
      </c>
      <c r="J129" t="s">
        <v>2987</v>
      </c>
    </row>
    <row r="130" spans="1:10">
      <c r="A130" t="s">
        <v>3028</v>
      </c>
      <c r="B130" t="s">
        <v>282</v>
      </c>
      <c r="C130">
        <v>1</v>
      </c>
      <c r="E130">
        <v>74626.81</v>
      </c>
      <c r="G130">
        <v>0.17</v>
      </c>
      <c r="I130" t="s">
        <v>3013</v>
      </c>
      <c r="J130" t="s">
        <v>2987</v>
      </c>
    </row>
    <row r="131" spans="1:10">
      <c r="A131" t="s">
        <v>3028</v>
      </c>
      <c r="B131" t="s">
        <v>282</v>
      </c>
      <c r="C131">
        <v>2</v>
      </c>
      <c r="E131">
        <v>74627.62</v>
      </c>
      <c r="G131">
        <v>0.22</v>
      </c>
      <c r="I131" t="s">
        <v>3013</v>
      </c>
      <c r="J131" t="s">
        <v>3029</v>
      </c>
    </row>
    <row r="132" spans="1:10">
      <c r="A132" t="s">
        <v>3028</v>
      </c>
      <c r="B132" t="s">
        <v>303</v>
      </c>
      <c r="C132">
        <v>1</v>
      </c>
      <c r="E132">
        <v>74650.880000000005</v>
      </c>
      <c r="G132">
        <v>0.17</v>
      </c>
      <c r="I132" t="s">
        <v>3013</v>
      </c>
      <c r="J132" t="s">
        <v>2987</v>
      </c>
    </row>
    <row r="133" spans="1:10">
      <c r="A133" t="s">
        <v>3027</v>
      </c>
      <c r="B133" t="s">
        <v>257</v>
      </c>
      <c r="C133">
        <v>1</v>
      </c>
      <c r="E133">
        <v>74651.58</v>
      </c>
      <c r="G133">
        <v>0.19</v>
      </c>
      <c r="I133">
        <v>100</v>
      </c>
      <c r="J133" t="s">
        <v>3022</v>
      </c>
    </row>
    <row r="134" spans="1:10">
      <c r="A134" t="s">
        <v>3027</v>
      </c>
      <c r="B134" t="s">
        <v>257</v>
      </c>
      <c r="C134">
        <v>2</v>
      </c>
      <c r="E134">
        <v>74651.679999999993</v>
      </c>
      <c r="G134">
        <v>0.21</v>
      </c>
      <c r="I134">
        <v>100</v>
      </c>
      <c r="J134" t="s">
        <v>2980</v>
      </c>
    </row>
    <row r="135" spans="1:10">
      <c r="A135" t="s">
        <v>3027</v>
      </c>
      <c r="B135" t="s">
        <v>257</v>
      </c>
      <c r="C135">
        <v>3</v>
      </c>
      <c r="E135">
        <v>74651.91</v>
      </c>
      <c r="G135">
        <v>0.21</v>
      </c>
      <c r="I135">
        <v>100</v>
      </c>
      <c r="J135" t="s">
        <v>2980</v>
      </c>
    </row>
    <row r="136" spans="1:10">
      <c r="A136" t="s">
        <v>3030</v>
      </c>
      <c r="B136" t="s">
        <v>259</v>
      </c>
      <c r="C136">
        <v>2</v>
      </c>
      <c r="E136">
        <v>74825.039999999994</v>
      </c>
      <c r="G136">
        <v>0.17</v>
      </c>
      <c r="I136">
        <v>98</v>
      </c>
      <c r="J136" t="s">
        <v>2987</v>
      </c>
    </row>
    <row r="137" spans="1:10">
      <c r="A137" t="s">
        <v>3031</v>
      </c>
      <c r="B137" t="s">
        <v>282</v>
      </c>
      <c r="C137">
        <v>2</v>
      </c>
      <c r="E137">
        <v>74829.13</v>
      </c>
      <c r="G137">
        <v>0.18</v>
      </c>
      <c r="I137" t="s">
        <v>3013</v>
      </c>
      <c r="J137" t="s">
        <v>3029</v>
      </c>
    </row>
    <row r="138" spans="1:10">
      <c r="A138" t="s">
        <v>3031</v>
      </c>
      <c r="B138" t="s">
        <v>303</v>
      </c>
      <c r="C138">
        <v>1</v>
      </c>
      <c r="E138">
        <v>74846.55</v>
      </c>
      <c r="G138">
        <v>0.17</v>
      </c>
      <c r="I138" t="s">
        <v>3013</v>
      </c>
      <c r="J138" t="s">
        <v>2987</v>
      </c>
    </row>
    <row r="139" spans="1:10">
      <c r="A139" t="s">
        <v>3030</v>
      </c>
      <c r="B139" t="s">
        <v>257</v>
      </c>
      <c r="C139">
        <v>1</v>
      </c>
      <c r="E139">
        <v>74847.27</v>
      </c>
      <c r="G139">
        <v>0.2</v>
      </c>
      <c r="I139">
        <v>100</v>
      </c>
      <c r="J139" t="s">
        <v>3022</v>
      </c>
    </row>
    <row r="140" spans="1:10">
      <c r="A140" t="s">
        <v>3030</v>
      </c>
      <c r="B140" t="s">
        <v>257</v>
      </c>
      <c r="C140">
        <v>2</v>
      </c>
      <c r="E140">
        <v>74847.34</v>
      </c>
      <c r="G140">
        <v>0.22</v>
      </c>
      <c r="I140">
        <v>100</v>
      </c>
      <c r="J140" t="s">
        <v>2980</v>
      </c>
    </row>
    <row r="141" spans="1:10">
      <c r="A141" t="s">
        <v>3030</v>
      </c>
      <c r="B141" t="s">
        <v>257</v>
      </c>
      <c r="C141">
        <v>3</v>
      </c>
      <c r="E141">
        <v>74847.520000000004</v>
      </c>
      <c r="G141">
        <v>0.22</v>
      </c>
      <c r="I141">
        <v>100</v>
      </c>
      <c r="J141" t="s">
        <v>2980</v>
      </c>
    </row>
    <row r="142" spans="1:10">
      <c r="A142" t="s">
        <v>3032</v>
      </c>
      <c r="B142" t="s">
        <v>259</v>
      </c>
      <c r="C142">
        <v>2</v>
      </c>
      <c r="E142">
        <v>74978.2</v>
      </c>
      <c r="G142">
        <v>0.17</v>
      </c>
      <c r="I142">
        <v>99</v>
      </c>
      <c r="J142" t="s">
        <v>2987</v>
      </c>
    </row>
    <row r="143" spans="1:10">
      <c r="A143" t="s">
        <v>3033</v>
      </c>
      <c r="B143" t="s">
        <v>282</v>
      </c>
      <c r="C143">
        <v>2</v>
      </c>
      <c r="E143">
        <v>74981.740000000005</v>
      </c>
      <c r="G143">
        <v>0.18</v>
      </c>
      <c r="I143" t="s">
        <v>3013</v>
      </c>
      <c r="J143" t="s">
        <v>3029</v>
      </c>
    </row>
    <row r="144" spans="1:10">
      <c r="A144" t="s">
        <v>3033</v>
      </c>
      <c r="B144" t="s">
        <v>303</v>
      </c>
      <c r="C144">
        <v>1</v>
      </c>
      <c r="E144">
        <v>74995.009999999995</v>
      </c>
      <c r="G144">
        <v>0.17</v>
      </c>
      <c r="I144" t="s">
        <v>3013</v>
      </c>
      <c r="J144" t="s">
        <v>2987</v>
      </c>
    </row>
    <row r="145" spans="1:10">
      <c r="A145" t="s">
        <v>3032</v>
      </c>
      <c r="B145" t="s">
        <v>257</v>
      </c>
      <c r="C145">
        <v>1</v>
      </c>
      <c r="E145">
        <v>74995.53</v>
      </c>
      <c r="G145">
        <v>0.15</v>
      </c>
      <c r="I145">
        <v>100</v>
      </c>
      <c r="J145" t="s">
        <v>3022</v>
      </c>
    </row>
    <row r="146" spans="1:10">
      <c r="A146" t="s">
        <v>3032</v>
      </c>
      <c r="B146" t="s">
        <v>257</v>
      </c>
      <c r="C146">
        <v>2</v>
      </c>
      <c r="E146">
        <v>74995.58</v>
      </c>
      <c r="G146">
        <v>0.18</v>
      </c>
      <c r="I146">
        <v>100</v>
      </c>
    </row>
    <row r="147" spans="1:10">
      <c r="A147" t="s">
        <v>3032</v>
      </c>
      <c r="B147" t="s">
        <v>257</v>
      </c>
      <c r="C147">
        <v>3</v>
      </c>
      <c r="E147">
        <v>74995.72</v>
      </c>
      <c r="G147">
        <v>0.15</v>
      </c>
      <c r="I147">
        <v>100</v>
      </c>
      <c r="J147" t="s">
        <v>3022</v>
      </c>
    </row>
    <row r="148" spans="1:10">
      <c r="A148" t="s">
        <v>3034</v>
      </c>
      <c r="B148" t="s">
        <v>259</v>
      </c>
      <c r="C148">
        <v>2</v>
      </c>
      <c r="E148">
        <v>75097.06</v>
      </c>
      <c r="G148">
        <v>0.17</v>
      </c>
      <c r="I148" t="s">
        <v>3013</v>
      </c>
      <c r="J148" t="s">
        <v>2987</v>
      </c>
    </row>
    <row r="149" spans="1:10">
      <c r="A149" t="s">
        <v>3035</v>
      </c>
      <c r="B149" t="s">
        <v>282</v>
      </c>
      <c r="C149">
        <v>2</v>
      </c>
      <c r="E149">
        <v>75099.759999999995</v>
      </c>
      <c r="G149">
        <v>0.18</v>
      </c>
      <c r="I149" t="s">
        <v>3013</v>
      </c>
      <c r="J149" t="s">
        <v>3029</v>
      </c>
    </row>
    <row r="150" spans="1:10">
      <c r="A150" t="s">
        <v>3035</v>
      </c>
      <c r="B150" t="s">
        <v>303</v>
      </c>
      <c r="C150">
        <v>1</v>
      </c>
      <c r="E150">
        <v>75110.320000000007</v>
      </c>
      <c r="G150">
        <v>0.17</v>
      </c>
      <c r="I150" t="s">
        <v>3013</v>
      </c>
      <c r="J150" t="s">
        <v>2987</v>
      </c>
    </row>
    <row r="151" spans="1:10">
      <c r="A151" t="s">
        <v>3034</v>
      </c>
      <c r="B151" t="s">
        <v>257</v>
      </c>
      <c r="C151">
        <v>1</v>
      </c>
      <c r="E151">
        <v>75110.84</v>
      </c>
      <c r="G151">
        <v>0.13</v>
      </c>
      <c r="I151" t="s">
        <v>3013</v>
      </c>
      <c r="J151" t="s">
        <v>3022</v>
      </c>
    </row>
    <row r="152" spans="1:10">
      <c r="A152" t="s">
        <v>3034</v>
      </c>
      <c r="B152" t="s">
        <v>257</v>
      </c>
      <c r="C152">
        <v>2</v>
      </c>
      <c r="E152">
        <v>75110.899999999994</v>
      </c>
      <c r="G152">
        <v>0.13</v>
      </c>
      <c r="I152" t="s">
        <v>3013</v>
      </c>
      <c r="J152" t="s">
        <v>3022</v>
      </c>
    </row>
    <row r="153" spans="1:10">
      <c r="A153" t="s">
        <v>3034</v>
      </c>
      <c r="B153" t="s">
        <v>257</v>
      </c>
      <c r="C153">
        <v>3</v>
      </c>
      <c r="E153">
        <v>75111</v>
      </c>
      <c r="G153">
        <v>0.12</v>
      </c>
      <c r="I153" t="s">
        <v>3013</v>
      </c>
      <c r="J153" t="s">
        <v>3022</v>
      </c>
    </row>
    <row r="154" spans="1:10">
      <c r="A154" t="s">
        <v>3036</v>
      </c>
      <c r="B154" t="s">
        <v>259</v>
      </c>
      <c r="C154">
        <v>2</v>
      </c>
      <c r="E154">
        <v>75191.08</v>
      </c>
      <c r="G154">
        <v>0.17</v>
      </c>
      <c r="I154" t="s">
        <v>3013</v>
      </c>
      <c r="J154" t="s">
        <v>2987</v>
      </c>
    </row>
    <row r="155" spans="1:10">
      <c r="A155" t="s">
        <v>3037</v>
      </c>
      <c r="B155" t="s">
        <v>303</v>
      </c>
      <c r="C155">
        <v>1</v>
      </c>
      <c r="E155">
        <v>75201.649999999994</v>
      </c>
      <c r="G155">
        <v>0.13</v>
      </c>
      <c r="I155" t="s">
        <v>3013</v>
      </c>
      <c r="J155" t="s">
        <v>3038</v>
      </c>
    </row>
    <row r="156" spans="1:10">
      <c r="A156" t="s">
        <v>3039</v>
      </c>
      <c r="B156" t="s">
        <v>259</v>
      </c>
      <c r="C156">
        <v>2</v>
      </c>
      <c r="E156">
        <v>75266.63</v>
      </c>
      <c r="G156">
        <v>0.17</v>
      </c>
      <c r="I156" t="s">
        <v>3013</v>
      </c>
      <c r="J156" t="s">
        <v>2987</v>
      </c>
    </row>
    <row r="157" spans="1:10">
      <c r="A157" t="s">
        <v>3040</v>
      </c>
      <c r="B157" t="s">
        <v>303</v>
      </c>
      <c r="C157">
        <v>1</v>
      </c>
      <c r="E157">
        <v>75275.27</v>
      </c>
      <c r="G157">
        <v>0.13</v>
      </c>
      <c r="I157" t="s">
        <v>3013</v>
      </c>
      <c r="J157" t="s">
        <v>3038</v>
      </c>
    </row>
    <row r="158" spans="1:10">
      <c r="A158" t="s">
        <v>3041</v>
      </c>
      <c r="B158" t="s">
        <v>259</v>
      </c>
      <c r="C158">
        <v>2</v>
      </c>
      <c r="E158">
        <v>75328.429999999993</v>
      </c>
      <c r="G158">
        <v>0.17</v>
      </c>
      <c r="I158" t="s">
        <v>3013</v>
      </c>
      <c r="J158" t="s">
        <v>2987</v>
      </c>
    </row>
    <row r="159" spans="1:10">
      <c r="A159" t="s">
        <v>3042</v>
      </c>
      <c r="B159" t="s">
        <v>303</v>
      </c>
      <c r="C159">
        <v>1</v>
      </c>
      <c r="E159">
        <v>75335.490000000005</v>
      </c>
      <c r="G159">
        <v>0.13</v>
      </c>
      <c r="I159" t="s">
        <v>3013</v>
      </c>
      <c r="J159" t="s">
        <v>3038</v>
      </c>
    </row>
    <row r="160" spans="1:10">
      <c r="A160" t="s">
        <v>3043</v>
      </c>
      <c r="B160" t="s">
        <v>259</v>
      </c>
      <c r="C160">
        <v>2</v>
      </c>
      <c r="E160">
        <v>75379.31</v>
      </c>
      <c r="G160">
        <v>0.17</v>
      </c>
      <c r="I160" t="s">
        <v>3013</v>
      </c>
      <c r="J160" t="s">
        <v>2987</v>
      </c>
    </row>
    <row r="161" spans="1:10">
      <c r="A161" t="s">
        <v>3044</v>
      </c>
      <c r="B161" t="s">
        <v>303</v>
      </c>
      <c r="C161">
        <v>1</v>
      </c>
      <c r="E161">
        <v>75385.31</v>
      </c>
      <c r="G161">
        <v>0.13</v>
      </c>
      <c r="I161" t="s">
        <v>3013</v>
      </c>
      <c r="J161" t="s">
        <v>3038</v>
      </c>
    </row>
    <row r="162" spans="1:10">
      <c r="A162" t="s">
        <v>3045</v>
      </c>
      <c r="B162" t="s">
        <v>259</v>
      </c>
      <c r="C162">
        <v>2</v>
      </c>
      <c r="E162">
        <v>75422</v>
      </c>
      <c r="G162">
        <v>0.3</v>
      </c>
      <c r="I162" t="s">
        <v>3013</v>
      </c>
      <c r="J162" t="s">
        <v>2987</v>
      </c>
    </row>
    <row r="163" spans="1:10">
      <c r="A163" t="s">
        <v>3046</v>
      </c>
      <c r="B163" t="s">
        <v>303</v>
      </c>
      <c r="C163">
        <v>1</v>
      </c>
      <c r="E163">
        <v>75426.98</v>
      </c>
      <c r="G163">
        <v>0.13</v>
      </c>
      <c r="I163" t="s">
        <v>3013</v>
      </c>
      <c r="J163" t="s">
        <v>3038</v>
      </c>
    </row>
    <row r="164" spans="1:10">
      <c r="A164" t="s">
        <v>3047</v>
      </c>
      <c r="B164" t="s">
        <v>259</v>
      </c>
      <c r="C164">
        <v>2</v>
      </c>
      <c r="E164">
        <v>75458.14</v>
      </c>
      <c r="G164">
        <v>0.34</v>
      </c>
      <c r="I164" t="s">
        <v>3013</v>
      </c>
      <c r="J164" t="s">
        <v>2987</v>
      </c>
    </row>
    <row r="165" spans="1:10">
      <c r="A165" t="s">
        <v>3048</v>
      </c>
      <c r="B165" t="s">
        <v>303</v>
      </c>
      <c r="C165">
        <v>1</v>
      </c>
      <c r="E165">
        <v>75462.3</v>
      </c>
      <c r="G165">
        <v>0.13</v>
      </c>
      <c r="I165" t="s">
        <v>3013</v>
      </c>
      <c r="J165" t="s">
        <v>3038</v>
      </c>
    </row>
    <row r="166" spans="1:10">
      <c r="A166" t="s">
        <v>3049</v>
      </c>
      <c r="B166" t="s">
        <v>303</v>
      </c>
      <c r="C166">
        <v>1</v>
      </c>
      <c r="E166">
        <v>75492.25</v>
      </c>
      <c r="G166">
        <v>0.13</v>
      </c>
      <c r="I166" t="s">
        <v>3013</v>
      </c>
      <c r="J166" t="s">
        <v>3038</v>
      </c>
    </row>
    <row r="167" spans="1:10">
      <c r="A167" t="s">
        <v>3050</v>
      </c>
      <c r="B167" t="s">
        <v>303</v>
      </c>
      <c r="C167">
        <v>1</v>
      </c>
      <c r="E167">
        <v>75518.17</v>
      </c>
      <c r="G167">
        <v>0.13</v>
      </c>
      <c r="I167" t="s">
        <v>3013</v>
      </c>
      <c r="J167" t="s">
        <v>3038</v>
      </c>
    </row>
    <row r="168" spans="1:10">
      <c r="A168" t="s">
        <v>3051</v>
      </c>
      <c r="B168" t="s">
        <v>303</v>
      </c>
      <c r="C168">
        <v>1</v>
      </c>
      <c r="E168">
        <v>75540.55</v>
      </c>
      <c r="G168">
        <v>0.13</v>
      </c>
      <c r="I168" t="s">
        <v>3013</v>
      </c>
      <c r="J168" t="s">
        <v>3038</v>
      </c>
    </row>
    <row r="169" spans="1:10">
      <c r="A169" t="s">
        <v>3052</v>
      </c>
      <c r="B169" t="s">
        <v>303</v>
      </c>
      <c r="C169">
        <v>1</v>
      </c>
      <c r="E169">
        <v>75560.149999999994</v>
      </c>
      <c r="G169">
        <v>0.13</v>
      </c>
      <c r="I169" t="s">
        <v>3013</v>
      </c>
      <c r="J169" t="s">
        <v>3038</v>
      </c>
    </row>
    <row r="170" spans="1:10">
      <c r="A170" t="s">
        <v>3053</v>
      </c>
      <c r="B170" t="s">
        <v>303</v>
      </c>
      <c r="C170">
        <v>1</v>
      </c>
      <c r="E170">
        <v>75577.259999999995</v>
      </c>
      <c r="G170">
        <v>0.13</v>
      </c>
      <c r="I170" t="s">
        <v>3013</v>
      </c>
      <c r="J170" t="s">
        <v>3038</v>
      </c>
    </row>
    <row r="171" spans="1:10">
      <c r="A171" t="s">
        <v>3054</v>
      </c>
      <c r="B171" t="s">
        <v>303</v>
      </c>
      <c r="C171">
        <v>1</v>
      </c>
      <c r="E171">
        <v>75592.39</v>
      </c>
      <c r="G171">
        <v>0.13</v>
      </c>
      <c r="I171" t="s">
        <v>3013</v>
      </c>
      <c r="J171" t="s">
        <v>3038</v>
      </c>
    </row>
    <row r="172" spans="1:10">
      <c r="A172" t="s">
        <v>3055</v>
      </c>
      <c r="B172" t="s">
        <v>303</v>
      </c>
      <c r="C172">
        <v>1</v>
      </c>
      <c r="E172">
        <v>75605.759999999995</v>
      </c>
      <c r="G172">
        <v>0.13</v>
      </c>
      <c r="I172" t="s">
        <v>3013</v>
      </c>
      <c r="J172" t="s">
        <v>3038</v>
      </c>
    </row>
    <row r="173" spans="1:10">
      <c r="A173" t="s">
        <v>3056</v>
      </c>
      <c r="B173" t="s">
        <v>303</v>
      </c>
      <c r="C173">
        <v>1</v>
      </c>
      <c r="E173">
        <v>75617.66</v>
      </c>
      <c r="G173">
        <v>0.13</v>
      </c>
      <c r="I173" t="s">
        <v>3013</v>
      </c>
      <c r="J173" t="s">
        <v>3038</v>
      </c>
    </row>
    <row r="174" spans="1:10">
      <c r="A174" t="s">
        <v>3057</v>
      </c>
      <c r="B174" t="s">
        <v>303</v>
      </c>
      <c r="C174">
        <v>1</v>
      </c>
      <c r="E174">
        <v>75628.350000000006</v>
      </c>
      <c r="G174">
        <v>0.13</v>
      </c>
      <c r="I174" t="s">
        <v>3013</v>
      </c>
      <c r="J174" t="s">
        <v>3038</v>
      </c>
    </row>
    <row r="175" spans="1:10">
      <c r="A175" t="s">
        <v>3058</v>
      </c>
      <c r="B175" t="s">
        <v>303</v>
      </c>
      <c r="C175">
        <v>1</v>
      </c>
      <c r="E175">
        <v>75637.929999999993</v>
      </c>
      <c r="G175">
        <v>0.17</v>
      </c>
      <c r="I175" t="s">
        <v>3013</v>
      </c>
      <c r="J175" t="s">
        <v>2987</v>
      </c>
    </row>
    <row r="176" spans="1:10">
      <c r="A176" t="s">
        <v>3059</v>
      </c>
      <c r="B176" t="s">
        <v>303</v>
      </c>
      <c r="C176">
        <v>1</v>
      </c>
      <c r="E176">
        <v>75646.570000000007</v>
      </c>
      <c r="G176">
        <v>0.17</v>
      </c>
      <c r="I176" t="s">
        <v>3013</v>
      </c>
      <c r="J176" t="s">
        <v>2987</v>
      </c>
    </row>
    <row r="177" spans="1:10">
      <c r="A177" t="s">
        <v>3060</v>
      </c>
      <c r="B177" t="s">
        <v>303</v>
      </c>
      <c r="C177">
        <v>1</v>
      </c>
      <c r="E177">
        <v>75654.41</v>
      </c>
      <c r="G177">
        <v>0.17</v>
      </c>
      <c r="I177" t="s">
        <v>3013</v>
      </c>
      <c r="J177" t="s">
        <v>2987</v>
      </c>
    </row>
    <row r="178" spans="1:10">
      <c r="A178" t="s">
        <v>3061</v>
      </c>
      <c r="B178" t="s">
        <v>303</v>
      </c>
      <c r="C178">
        <v>1</v>
      </c>
      <c r="E178">
        <v>75661.509999999995</v>
      </c>
      <c r="G178">
        <v>0.17</v>
      </c>
      <c r="I178" t="s">
        <v>3013</v>
      </c>
      <c r="J178" t="s">
        <v>2987</v>
      </c>
    </row>
    <row r="179" spans="1:10">
      <c r="A179" t="s">
        <v>3062</v>
      </c>
      <c r="B179" t="s">
        <v>303</v>
      </c>
      <c r="C179">
        <v>1</v>
      </c>
      <c r="E179">
        <v>75667.98</v>
      </c>
      <c r="G179">
        <v>0.17</v>
      </c>
      <c r="I179" t="s">
        <v>3013</v>
      </c>
      <c r="J179" t="s">
        <v>2987</v>
      </c>
    </row>
    <row r="180" spans="1:10">
      <c r="A180" t="s">
        <v>3063</v>
      </c>
      <c r="B180" t="s">
        <v>303</v>
      </c>
      <c r="C180">
        <v>1</v>
      </c>
      <c r="E180">
        <v>75673.820000000007</v>
      </c>
      <c r="G180">
        <v>0.17</v>
      </c>
      <c r="I180" t="s">
        <v>3013</v>
      </c>
      <c r="J180" t="s">
        <v>2987</v>
      </c>
    </row>
    <row r="181" spans="1:10">
      <c r="A181" t="s">
        <v>3064</v>
      </c>
      <c r="B181" t="s">
        <v>303</v>
      </c>
      <c r="C181">
        <v>1</v>
      </c>
      <c r="E181">
        <v>75679.199999999997</v>
      </c>
      <c r="G181">
        <v>0.17</v>
      </c>
      <c r="I181" t="s">
        <v>3013</v>
      </c>
      <c r="J181" t="s">
        <v>2987</v>
      </c>
    </row>
    <row r="182" spans="1:10">
      <c r="A182" t="s">
        <v>3065</v>
      </c>
      <c r="B182" t="s">
        <v>303</v>
      </c>
      <c r="C182">
        <v>1</v>
      </c>
      <c r="E182">
        <v>75684.19</v>
      </c>
      <c r="G182">
        <v>0.17</v>
      </c>
      <c r="I182" t="s">
        <v>3013</v>
      </c>
      <c r="J182" t="s">
        <v>2987</v>
      </c>
    </row>
    <row r="183" spans="1:10">
      <c r="A183" t="s">
        <v>3066</v>
      </c>
      <c r="B183" t="s">
        <v>303</v>
      </c>
      <c r="C183">
        <v>1</v>
      </c>
      <c r="E183">
        <v>75688.77</v>
      </c>
      <c r="G183">
        <v>0.17</v>
      </c>
      <c r="I183" t="s">
        <v>3013</v>
      </c>
      <c r="J183" t="s">
        <v>2987</v>
      </c>
    </row>
    <row r="184" spans="1:10">
      <c r="A184" t="s">
        <v>3067</v>
      </c>
      <c r="B184" t="s">
        <v>303</v>
      </c>
      <c r="C184">
        <v>1</v>
      </c>
      <c r="E184">
        <v>75692.89</v>
      </c>
      <c r="G184">
        <v>0.17</v>
      </c>
      <c r="I184" t="s">
        <v>3013</v>
      </c>
      <c r="J184" t="s">
        <v>2987</v>
      </c>
    </row>
    <row r="185" spans="1:10">
      <c r="A185" t="s">
        <v>3068</v>
      </c>
      <c r="B185" t="s">
        <v>303</v>
      </c>
      <c r="C185">
        <v>1</v>
      </c>
      <c r="E185">
        <v>75696.789999999994</v>
      </c>
      <c r="G185">
        <v>0.17</v>
      </c>
      <c r="I185" t="s">
        <v>3013</v>
      </c>
      <c r="J185" t="s">
        <v>2987</v>
      </c>
    </row>
    <row r="186" spans="1:10">
      <c r="A186" t="s">
        <v>3069</v>
      </c>
      <c r="B186" t="s">
        <v>303</v>
      </c>
      <c r="C186">
        <v>1</v>
      </c>
      <c r="E186">
        <v>75700.399999999994</v>
      </c>
      <c r="G186">
        <v>0.17</v>
      </c>
      <c r="I186" t="s">
        <v>3013</v>
      </c>
      <c r="J186" t="s">
        <v>2987</v>
      </c>
    </row>
    <row r="187" spans="1:10">
      <c r="A187" t="s">
        <v>3070</v>
      </c>
      <c r="B187" t="s">
        <v>303</v>
      </c>
      <c r="C187">
        <v>1</v>
      </c>
      <c r="E187">
        <v>75703.72</v>
      </c>
      <c r="G187">
        <v>0.17</v>
      </c>
      <c r="I187" t="s">
        <v>3013</v>
      </c>
      <c r="J187" t="s">
        <v>2987</v>
      </c>
    </row>
    <row r="188" spans="1:10">
      <c r="A188" t="s">
        <v>3071</v>
      </c>
      <c r="B188" t="s">
        <v>303</v>
      </c>
      <c r="C188">
        <v>1</v>
      </c>
      <c r="E188">
        <v>75706.880000000005</v>
      </c>
      <c r="G188">
        <v>0.17</v>
      </c>
      <c r="I188" t="s">
        <v>3013</v>
      </c>
      <c r="J188" t="s">
        <v>2987</v>
      </c>
    </row>
    <row r="189" spans="1:10">
      <c r="A189" t="s">
        <v>3072</v>
      </c>
      <c r="B189" t="s">
        <v>303</v>
      </c>
      <c r="C189">
        <v>1</v>
      </c>
      <c r="E189">
        <v>75709.679999999993</v>
      </c>
      <c r="G189">
        <v>0.17</v>
      </c>
      <c r="I189" t="s">
        <v>3013</v>
      </c>
      <c r="J189" t="s">
        <v>2987</v>
      </c>
    </row>
    <row r="190" spans="1:10">
      <c r="A190" t="s">
        <v>3073</v>
      </c>
      <c r="B190" t="s">
        <v>303</v>
      </c>
      <c r="C190">
        <v>1</v>
      </c>
      <c r="E190">
        <v>75712.38</v>
      </c>
      <c r="G190">
        <v>0.17</v>
      </c>
      <c r="I190" t="s">
        <v>3013</v>
      </c>
      <c r="J190" t="s">
        <v>2987</v>
      </c>
    </row>
    <row r="191" spans="1:10">
      <c r="A191" t="s">
        <v>3074</v>
      </c>
      <c r="B191" t="s">
        <v>303</v>
      </c>
      <c r="C191">
        <v>1</v>
      </c>
      <c r="E191">
        <v>75714.899999999994</v>
      </c>
      <c r="G191">
        <v>0.17</v>
      </c>
      <c r="I191" t="s">
        <v>3013</v>
      </c>
      <c r="J191" t="s">
        <v>2987</v>
      </c>
    </row>
    <row r="192" spans="1:10">
      <c r="A192" t="s">
        <v>3075</v>
      </c>
      <c r="B192" t="s">
        <v>303</v>
      </c>
      <c r="C192">
        <v>1</v>
      </c>
      <c r="E192">
        <v>75717.25</v>
      </c>
      <c r="G192">
        <v>0.17</v>
      </c>
      <c r="I192" t="s">
        <v>3013</v>
      </c>
      <c r="J192" t="s">
        <v>2987</v>
      </c>
    </row>
    <row r="193" spans="1:10">
      <c r="A193" t="s">
        <v>3076</v>
      </c>
      <c r="B193" t="s">
        <v>303</v>
      </c>
      <c r="C193">
        <v>1</v>
      </c>
      <c r="E193">
        <v>75719.429999999993</v>
      </c>
      <c r="G193">
        <v>0.17</v>
      </c>
      <c r="I193" t="s">
        <v>3013</v>
      </c>
      <c r="J193" t="s">
        <v>2987</v>
      </c>
    </row>
    <row r="194" spans="1:10">
      <c r="A194" t="s">
        <v>3077</v>
      </c>
      <c r="B194" t="s">
        <v>303</v>
      </c>
      <c r="C194">
        <v>1</v>
      </c>
      <c r="E194">
        <v>75721.490000000005</v>
      </c>
      <c r="G194">
        <v>0.17</v>
      </c>
      <c r="I194" t="s">
        <v>3013</v>
      </c>
      <c r="J194" t="s">
        <v>2987</v>
      </c>
    </row>
    <row r="195" spans="1:10">
      <c r="A195" t="s">
        <v>3078</v>
      </c>
      <c r="B195" t="s">
        <v>303</v>
      </c>
      <c r="C195">
        <v>1</v>
      </c>
      <c r="E195">
        <v>75723.44</v>
      </c>
      <c r="G195">
        <v>0.17</v>
      </c>
      <c r="I195" t="s">
        <v>3013</v>
      </c>
      <c r="J195" t="s">
        <v>2987</v>
      </c>
    </row>
    <row r="196" spans="1:10">
      <c r="A196" t="s">
        <v>3079</v>
      </c>
      <c r="B196" t="s">
        <v>303</v>
      </c>
      <c r="C196">
        <v>1</v>
      </c>
      <c r="E196">
        <v>75725.279999999999</v>
      </c>
      <c r="G196">
        <v>0.17</v>
      </c>
      <c r="I196" t="s">
        <v>3013</v>
      </c>
      <c r="J196" t="s">
        <v>2987</v>
      </c>
    </row>
    <row r="197" spans="1:10">
      <c r="A197" t="s">
        <v>3080</v>
      </c>
      <c r="B197" t="s">
        <v>303</v>
      </c>
      <c r="C197">
        <v>1</v>
      </c>
      <c r="E197">
        <v>75727</v>
      </c>
      <c r="G197">
        <v>0.17</v>
      </c>
      <c r="I197" t="s">
        <v>3013</v>
      </c>
      <c r="J197" t="s">
        <v>2987</v>
      </c>
    </row>
    <row r="198" spans="1:10">
      <c r="A198" t="s">
        <v>3081</v>
      </c>
      <c r="B198" t="s">
        <v>303</v>
      </c>
      <c r="C198">
        <v>1</v>
      </c>
      <c r="E198">
        <v>75728.600000000006</v>
      </c>
      <c r="G198">
        <v>0.17</v>
      </c>
      <c r="I198" t="s">
        <v>3013</v>
      </c>
      <c r="J198" t="s">
        <v>2987</v>
      </c>
    </row>
    <row r="199" spans="1:10">
      <c r="A199" t="s">
        <v>3082</v>
      </c>
      <c r="B199" t="s">
        <v>303</v>
      </c>
      <c r="C199">
        <v>1</v>
      </c>
      <c r="E199">
        <v>75730.149999999994</v>
      </c>
      <c r="G199">
        <v>0.17</v>
      </c>
      <c r="I199" t="s">
        <v>3013</v>
      </c>
      <c r="J199" t="s">
        <v>2987</v>
      </c>
    </row>
    <row r="200" spans="1:10">
      <c r="A200" t="s">
        <v>3083</v>
      </c>
      <c r="B200" t="s">
        <v>303</v>
      </c>
      <c r="C200">
        <v>1</v>
      </c>
      <c r="E200">
        <v>75731.53</v>
      </c>
      <c r="G200">
        <v>0.17</v>
      </c>
      <c r="I200" t="s">
        <v>3013</v>
      </c>
      <c r="J200" t="s">
        <v>2987</v>
      </c>
    </row>
    <row r="201" spans="1:10">
      <c r="A201" t="s">
        <v>3084</v>
      </c>
      <c r="B201" t="s">
        <v>303</v>
      </c>
      <c r="C201">
        <v>1</v>
      </c>
      <c r="E201">
        <v>75732.91</v>
      </c>
      <c r="G201">
        <v>0.17</v>
      </c>
      <c r="I201" t="s">
        <v>3013</v>
      </c>
      <c r="J201" t="s">
        <v>2987</v>
      </c>
    </row>
    <row r="202" spans="1:10">
      <c r="A202" t="s">
        <v>3085</v>
      </c>
      <c r="B202" t="s">
        <v>303</v>
      </c>
      <c r="C202">
        <v>1</v>
      </c>
      <c r="E202">
        <v>75734.22</v>
      </c>
      <c r="G202">
        <v>0.17</v>
      </c>
      <c r="I202" t="s">
        <v>3013</v>
      </c>
      <c r="J202" t="s">
        <v>2987</v>
      </c>
    </row>
    <row r="203" spans="1:10">
      <c r="A203" t="s">
        <v>3086</v>
      </c>
      <c r="B203" t="s">
        <v>303</v>
      </c>
      <c r="C203">
        <v>1</v>
      </c>
      <c r="E203">
        <v>75735.429999999993</v>
      </c>
      <c r="G203">
        <v>0.17</v>
      </c>
      <c r="I203" t="s">
        <v>3013</v>
      </c>
      <c r="J203" t="s">
        <v>2987</v>
      </c>
    </row>
    <row r="204" spans="1:10">
      <c r="A204" t="s">
        <v>3087</v>
      </c>
      <c r="B204" t="s">
        <v>303</v>
      </c>
      <c r="C204">
        <v>1</v>
      </c>
      <c r="E204">
        <v>75736.52</v>
      </c>
      <c r="G204">
        <v>0.17</v>
      </c>
      <c r="I204" t="s">
        <v>3013</v>
      </c>
      <c r="J204" t="s">
        <v>2987</v>
      </c>
    </row>
    <row r="205" spans="1:10">
      <c r="A205" t="s">
        <v>3088</v>
      </c>
      <c r="B205" t="s">
        <v>303</v>
      </c>
      <c r="C205">
        <v>1</v>
      </c>
      <c r="E205">
        <v>75737.72</v>
      </c>
      <c r="G205">
        <v>0.17</v>
      </c>
      <c r="I205" t="s">
        <v>3013</v>
      </c>
      <c r="J205" t="s">
        <v>2987</v>
      </c>
    </row>
    <row r="206" spans="1:10">
      <c r="A206" t="s">
        <v>3089</v>
      </c>
      <c r="B206" t="s">
        <v>303</v>
      </c>
      <c r="C206">
        <v>1</v>
      </c>
      <c r="E206">
        <v>75738.81</v>
      </c>
      <c r="G206">
        <v>0.17</v>
      </c>
      <c r="I206" t="s">
        <v>3013</v>
      </c>
      <c r="J206" t="s">
        <v>2987</v>
      </c>
    </row>
    <row r="207" spans="1:10">
      <c r="A207" t="s">
        <v>3090</v>
      </c>
      <c r="B207" t="s">
        <v>303</v>
      </c>
      <c r="C207">
        <v>1</v>
      </c>
      <c r="E207">
        <v>75739.789999999994</v>
      </c>
      <c r="G207">
        <v>0.17</v>
      </c>
      <c r="I207" t="s">
        <v>3013</v>
      </c>
      <c r="J207" t="s">
        <v>2987</v>
      </c>
    </row>
    <row r="208" spans="1:10">
      <c r="A208" t="s">
        <v>3091</v>
      </c>
      <c r="B208" t="s">
        <v>303</v>
      </c>
      <c r="C208">
        <v>1</v>
      </c>
      <c r="E208">
        <v>75740.759999999995</v>
      </c>
      <c r="G208">
        <v>0.17</v>
      </c>
      <c r="I208" t="s">
        <v>3013</v>
      </c>
      <c r="J208" t="s">
        <v>2987</v>
      </c>
    </row>
    <row r="209" spans="1:10">
      <c r="A209" t="s">
        <v>3092</v>
      </c>
      <c r="B209" t="s">
        <v>303</v>
      </c>
      <c r="C209">
        <v>1</v>
      </c>
      <c r="E209">
        <v>75741.570000000007</v>
      </c>
      <c r="G209">
        <v>0.17</v>
      </c>
      <c r="I209" t="s">
        <v>3013</v>
      </c>
      <c r="J209" t="s">
        <v>2987</v>
      </c>
    </row>
    <row r="210" spans="1:10">
      <c r="A210" t="s">
        <v>3093</v>
      </c>
      <c r="B210" t="s">
        <v>303</v>
      </c>
      <c r="C210">
        <v>1</v>
      </c>
      <c r="E210">
        <v>75742.37</v>
      </c>
      <c r="G210">
        <v>0.17</v>
      </c>
      <c r="I210" t="s">
        <v>3013</v>
      </c>
      <c r="J210" t="s">
        <v>2987</v>
      </c>
    </row>
    <row r="211" spans="1:10">
      <c r="A211" t="s">
        <v>3094</v>
      </c>
      <c r="B211" t="s">
        <v>202</v>
      </c>
      <c r="C211" t="s">
        <v>203</v>
      </c>
      <c r="E211">
        <v>75769.31</v>
      </c>
      <c r="G211">
        <v>0.05</v>
      </c>
      <c r="I211" t="s">
        <v>3013</v>
      </c>
      <c r="J211" t="s">
        <v>3029</v>
      </c>
    </row>
    <row r="212" spans="1:10">
      <c r="A212" t="s">
        <v>3095</v>
      </c>
      <c r="B212" t="s">
        <v>266</v>
      </c>
      <c r="C212">
        <v>0</v>
      </c>
      <c r="E212">
        <v>80175.021999999997</v>
      </c>
      <c r="G212">
        <v>2.3E-2</v>
      </c>
      <c r="I212">
        <v>100</v>
      </c>
      <c r="J212" t="s">
        <v>3096</v>
      </c>
    </row>
    <row r="213" spans="1:10">
      <c r="A213" t="s">
        <v>3095</v>
      </c>
      <c r="B213" t="s">
        <v>266</v>
      </c>
      <c r="C213">
        <v>1</v>
      </c>
      <c r="E213">
        <v>80394.172999999995</v>
      </c>
      <c r="G213">
        <v>1.2999999999999999E-2</v>
      </c>
      <c r="I213">
        <v>100</v>
      </c>
      <c r="J213" t="s">
        <v>3096</v>
      </c>
    </row>
    <row r="214" spans="1:10">
      <c r="A214" t="s">
        <v>3095</v>
      </c>
      <c r="B214" t="s">
        <v>266</v>
      </c>
      <c r="C214">
        <v>2</v>
      </c>
      <c r="E214">
        <v>80792.100000000006</v>
      </c>
      <c r="G214">
        <v>0.5</v>
      </c>
      <c r="I214">
        <v>100</v>
      </c>
      <c r="J214" t="s">
        <v>3096</v>
      </c>
    </row>
    <row r="215" spans="1:10">
      <c r="A215" t="s">
        <v>3097</v>
      </c>
      <c r="B215" t="s">
        <v>282</v>
      </c>
      <c r="C215">
        <v>1</v>
      </c>
      <c r="E215">
        <v>90227</v>
      </c>
      <c r="G215">
        <v>10</v>
      </c>
      <c r="I215">
        <v>96</v>
      </c>
      <c r="J215" t="s">
        <v>3098</v>
      </c>
    </row>
    <row r="216" spans="1:10">
      <c r="A216" t="s">
        <v>3097</v>
      </c>
      <c r="B216" t="s">
        <v>287</v>
      </c>
      <c r="C216">
        <v>1</v>
      </c>
      <c r="E216">
        <v>95209</v>
      </c>
      <c r="G216">
        <v>20</v>
      </c>
      <c r="I216">
        <v>79</v>
      </c>
      <c r="J216" t="s">
        <v>3098</v>
      </c>
    </row>
    <row r="217" spans="1:10">
      <c r="A217" t="s">
        <v>3097</v>
      </c>
      <c r="B217" t="s">
        <v>303</v>
      </c>
      <c r="C217">
        <v>1</v>
      </c>
      <c r="E217">
        <v>95792</v>
      </c>
      <c r="G217">
        <v>20</v>
      </c>
      <c r="I217">
        <v>76</v>
      </c>
      <c r="J217" t="s">
        <v>3098</v>
      </c>
    </row>
    <row r="218" spans="1:10">
      <c r="A218" t="s">
        <v>3099</v>
      </c>
      <c r="B218" t="s">
        <v>394</v>
      </c>
      <c r="C218">
        <v>1</v>
      </c>
      <c r="E218">
        <v>101945</v>
      </c>
      <c r="G218">
        <v>3</v>
      </c>
      <c r="I218" t="s">
        <v>3013</v>
      </c>
      <c r="J218" t="s">
        <v>3100</v>
      </c>
    </row>
    <row r="219" spans="1:10">
      <c r="A219" t="s">
        <v>3101</v>
      </c>
      <c r="B219" t="s">
        <v>388</v>
      </c>
      <c r="C219">
        <v>1</v>
      </c>
      <c r="E219">
        <v>103000</v>
      </c>
      <c r="G219">
        <v>30</v>
      </c>
      <c r="I219" t="s">
        <v>3013</v>
      </c>
      <c r="J219" t="s">
        <v>3100</v>
      </c>
    </row>
    <row r="220" spans="1:10">
      <c r="A220" t="s">
        <v>3102</v>
      </c>
      <c r="B220" t="s">
        <v>388</v>
      </c>
      <c r="C220">
        <v>1</v>
      </c>
      <c r="E220">
        <v>113167</v>
      </c>
      <c r="G220">
        <v>4</v>
      </c>
      <c r="I220" t="s">
        <v>3013</v>
      </c>
      <c r="J220" t="s">
        <v>3100</v>
      </c>
    </row>
    <row r="221" spans="1:10">
      <c r="A221" t="s">
        <v>3103</v>
      </c>
      <c r="B221" t="s">
        <v>394</v>
      </c>
      <c r="C221">
        <v>1</v>
      </c>
      <c r="E221">
        <v>113949</v>
      </c>
      <c r="G221">
        <v>4</v>
      </c>
      <c r="I221" t="s">
        <v>3013</v>
      </c>
      <c r="J221" t="s">
        <v>3100</v>
      </c>
    </row>
    <row r="222" spans="1:10">
      <c r="A222" t="s">
        <v>3104</v>
      </c>
      <c r="B222" t="s">
        <v>388</v>
      </c>
      <c r="C222">
        <v>1</v>
      </c>
      <c r="E222">
        <v>114978</v>
      </c>
      <c r="G222">
        <v>4</v>
      </c>
      <c r="I222" t="s">
        <v>3013</v>
      </c>
      <c r="J222" t="s">
        <v>3100</v>
      </c>
    </row>
    <row r="223" spans="1:10">
      <c r="A223" t="s">
        <v>3105</v>
      </c>
      <c r="B223" t="s">
        <v>388</v>
      </c>
      <c r="C223">
        <v>1</v>
      </c>
      <c r="E223">
        <v>117130</v>
      </c>
      <c r="G223">
        <v>4</v>
      </c>
      <c r="I223" t="s">
        <v>3013</v>
      </c>
      <c r="J223" t="s">
        <v>3100</v>
      </c>
    </row>
    <row r="224" spans="1:10">
      <c r="A224" t="s">
        <v>3106</v>
      </c>
      <c r="B224" t="s">
        <v>394</v>
      </c>
      <c r="C224">
        <v>1</v>
      </c>
      <c r="E224">
        <v>118151</v>
      </c>
      <c r="G224">
        <v>4</v>
      </c>
      <c r="I224" t="s">
        <v>3013</v>
      </c>
      <c r="J224" t="s">
        <v>3100</v>
      </c>
    </row>
    <row r="225" spans="1:10">
      <c r="A225" t="s">
        <v>3107</v>
      </c>
      <c r="B225" t="s">
        <v>388</v>
      </c>
      <c r="C225">
        <v>1</v>
      </c>
      <c r="E225">
        <v>118437</v>
      </c>
      <c r="G225">
        <v>4</v>
      </c>
      <c r="I225" t="s">
        <v>3013</v>
      </c>
      <c r="J225" t="s">
        <v>3100</v>
      </c>
    </row>
    <row r="226" spans="1:10">
      <c r="A226" t="s">
        <v>3108</v>
      </c>
      <c r="B226" t="s">
        <v>388</v>
      </c>
      <c r="C226">
        <v>1</v>
      </c>
      <c r="E226">
        <v>119188</v>
      </c>
      <c r="G226">
        <v>4</v>
      </c>
      <c r="I226" t="s">
        <v>3013</v>
      </c>
      <c r="J226" t="s">
        <v>3100</v>
      </c>
    </row>
    <row r="227" spans="1:10">
      <c r="A227" t="s">
        <v>3109</v>
      </c>
      <c r="B227" t="s">
        <v>388</v>
      </c>
      <c r="C227">
        <v>1</v>
      </c>
      <c r="E227">
        <v>119777</v>
      </c>
      <c r="G227">
        <v>4</v>
      </c>
      <c r="I227" t="s">
        <v>3013</v>
      </c>
      <c r="J227" t="s">
        <v>3100</v>
      </c>
    </row>
    <row r="228" spans="1:10">
      <c r="A228" t="s">
        <v>3110</v>
      </c>
      <c r="B228" t="s">
        <v>394</v>
      </c>
      <c r="C228">
        <v>1</v>
      </c>
      <c r="E228">
        <v>120301</v>
      </c>
      <c r="G228">
        <v>4</v>
      </c>
      <c r="I228" t="s">
        <v>3013</v>
      </c>
      <c r="J228" t="s">
        <v>3100</v>
      </c>
    </row>
    <row r="229" spans="1:10">
      <c r="A229" t="s">
        <v>3111</v>
      </c>
      <c r="B229" t="s">
        <v>388</v>
      </c>
      <c r="C229">
        <v>1</v>
      </c>
      <c r="E229">
        <v>120745</v>
      </c>
      <c r="G229">
        <v>4</v>
      </c>
      <c r="I229" t="s">
        <v>3013</v>
      </c>
      <c r="J229" t="s">
        <v>3100</v>
      </c>
    </row>
    <row r="230" spans="1:10">
      <c r="A230" t="s">
        <v>3112</v>
      </c>
      <c r="B230" t="s">
        <v>388</v>
      </c>
      <c r="C230">
        <v>1</v>
      </c>
      <c r="E230">
        <v>121112</v>
      </c>
      <c r="G230">
        <v>4</v>
      </c>
      <c r="I230" t="s">
        <v>3013</v>
      </c>
      <c r="J230" t="s">
        <v>3100</v>
      </c>
    </row>
    <row r="231" spans="1:10">
      <c r="A231" t="s">
        <v>3113</v>
      </c>
      <c r="B231" t="s">
        <v>388</v>
      </c>
      <c r="C231">
        <v>1</v>
      </c>
      <c r="E231">
        <v>121275</v>
      </c>
      <c r="G231">
        <v>4</v>
      </c>
      <c r="I231" t="s">
        <v>3013</v>
      </c>
      <c r="J231" t="s">
        <v>3100</v>
      </c>
    </row>
    <row r="232" spans="1:10">
      <c r="A232" t="s">
        <v>3114</v>
      </c>
      <c r="B232" t="s">
        <v>394</v>
      </c>
      <c r="C232">
        <v>1</v>
      </c>
      <c r="E232">
        <v>121480</v>
      </c>
      <c r="G232">
        <v>4</v>
      </c>
      <c r="I232" t="s">
        <v>3013</v>
      </c>
      <c r="J232" t="s">
        <v>3100</v>
      </c>
    </row>
    <row r="233" spans="1:10">
      <c r="A233" t="s">
        <v>3115</v>
      </c>
      <c r="B233" t="s">
        <v>394</v>
      </c>
      <c r="C233">
        <v>1</v>
      </c>
      <c r="E233">
        <v>122192</v>
      </c>
      <c r="G233">
        <v>4</v>
      </c>
      <c r="I233" t="s">
        <v>3013</v>
      </c>
      <c r="J233" t="s">
        <v>3100</v>
      </c>
    </row>
    <row r="234" spans="1:10">
      <c r="A234" t="s">
        <v>3116</v>
      </c>
      <c r="B234" t="s">
        <v>388</v>
      </c>
      <c r="C234">
        <v>1</v>
      </c>
      <c r="E234">
        <v>122374</v>
      </c>
      <c r="G234">
        <v>4</v>
      </c>
      <c r="I234" t="s">
        <v>3013</v>
      </c>
      <c r="J234" t="s">
        <v>3100</v>
      </c>
    </row>
    <row r="235" spans="1:10">
      <c r="A235" t="s">
        <v>3117</v>
      </c>
      <c r="B235" t="s">
        <v>388</v>
      </c>
      <c r="C235">
        <v>1</v>
      </c>
      <c r="E235">
        <v>122530</v>
      </c>
      <c r="G235">
        <v>5</v>
      </c>
      <c r="I235" t="s">
        <v>3013</v>
      </c>
      <c r="J235" t="s">
        <v>3100</v>
      </c>
    </row>
    <row r="236" spans="1:10">
      <c r="A236" t="s">
        <v>3118</v>
      </c>
      <c r="B236" t="s">
        <v>394</v>
      </c>
      <c r="C236">
        <v>1</v>
      </c>
      <c r="E236">
        <v>122648</v>
      </c>
      <c r="G236">
        <v>5</v>
      </c>
      <c r="I236" t="s">
        <v>3013</v>
      </c>
      <c r="J236" t="s">
        <v>3100</v>
      </c>
    </row>
    <row r="237" spans="1:10">
      <c r="A237" t="s">
        <v>3119</v>
      </c>
      <c r="B237" t="s">
        <v>394</v>
      </c>
      <c r="C237">
        <v>1</v>
      </c>
      <c r="E237">
        <v>122985</v>
      </c>
      <c r="G237">
        <v>5</v>
      </c>
      <c r="I237" t="s">
        <v>3013</v>
      </c>
      <c r="J237" t="s">
        <v>3100</v>
      </c>
    </row>
    <row r="238" spans="1:10">
      <c r="A238" t="s">
        <v>3120</v>
      </c>
      <c r="B238" t="s">
        <v>388</v>
      </c>
      <c r="C238">
        <v>1</v>
      </c>
      <c r="E238">
        <v>123063</v>
      </c>
      <c r="G238">
        <v>5</v>
      </c>
      <c r="I238" t="s">
        <v>3013</v>
      </c>
      <c r="J238" t="s">
        <v>3100</v>
      </c>
    </row>
    <row r="239" spans="1:10">
      <c r="A239" t="s">
        <v>3121</v>
      </c>
      <c r="B239" t="s">
        <v>388</v>
      </c>
      <c r="C239">
        <v>1</v>
      </c>
      <c r="E239">
        <v>123469</v>
      </c>
      <c r="G239">
        <v>15</v>
      </c>
      <c r="I239">
        <v>98</v>
      </c>
      <c r="J239" t="s">
        <v>3122</v>
      </c>
    </row>
    <row r="240" spans="1:10">
      <c r="A240" t="s">
        <v>3123</v>
      </c>
      <c r="B240" t="s">
        <v>388</v>
      </c>
      <c r="C240">
        <v>1</v>
      </c>
      <c r="E240">
        <v>123533</v>
      </c>
      <c r="G240">
        <v>8</v>
      </c>
      <c r="I240" t="s">
        <v>3013</v>
      </c>
      <c r="J240" t="s">
        <v>3100</v>
      </c>
    </row>
    <row r="241" spans="1:10">
      <c r="A241" t="s">
        <v>3124</v>
      </c>
      <c r="B241" t="s">
        <v>394</v>
      </c>
      <c r="C241">
        <v>1</v>
      </c>
      <c r="E241">
        <v>123636</v>
      </c>
      <c r="G241">
        <v>8</v>
      </c>
      <c r="I241" t="s">
        <v>3013</v>
      </c>
      <c r="J241" t="s">
        <v>3100</v>
      </c>
    </row>
    <row r="242" spans="1:10">
      <c r="A242" t="s">
        <v>3125</v>
      </c>
      <c r="B242" t="s">
        <v>394</v>
      </c>
      <c r="C242">
        <v>1</v>
      </c>
      <c r="E242">
        <v>123712</v>
      </c>
      <c r="G242">
        <v>8</v>
      </c>
      <c r="I242" t="s">
        <v>3013</v>
      </c>
      <c r="J242" t="s">
        <v>3100</v>
      </c>
    </row>
    <row r="243" spans="1:10">
      <c r="A243" t="s">
        <v>3126</v>
      </c>
      <c r="B243" t="s">
        <v>388</v>
      </c>
      <c r="C243">
        <v>1</v>
      </c>
      <c r="E243">
        <v>123843</v>
      </c>
      <c r="G243">
        <v>5</v>
      </c>
      <c r="I243" t="s">
        <v>3013</v>
      </c>
      <c r="J243" t="s">
        <v>3100</v>
      </c>
    </row>
    <row r="244" spans="1:10">
      <c r="A244" t="s">
        <v>3127</v>
      </c>
      <c r="B244" t="s">
        <v>388</v>
      </c>
      <c r="C244">
        <v>1</v>
      </c>
      <c r="E244">
        <v>124083</v>
      </c>
      <c r="G244">
        <v>5</v>
      </c>
      <c r="I244" t="s">
        <v>3013</v>
      </c>
      <c r="J244" t="s">
        <v>3100</v>
      </c>
    </row>
    <row r="245" spans="1:10">
      <c r="A245" t="s">
        <v>3128</v>
      </c>
      <c r="B245" t="s">
        <v>202</v>
      </c>
      <c r="C245" t="s">
        <v>203</v>
      </c>
      <c r="E245">
        <v>124250.31</v>
      </c>
      <c r="I245" t="s">
        <v>3013</v>
      </c>
    </row>
    <row r="246" spans="1:10">
      <c r="A246" t="s">
        <v>3129</v>
      </c>
      <c r="B246" t="s">
        <v>388</v>
      </c>
      <c r="C246">
        <v>1</v>
      </c>
      <c r="E246">
        <v>124265</v>
      </c>
      <c r="G246">
        <v>5</v>
      </c>
      <c r="I246" t="s">
        <v>3013</v>
      </c>
      <c r="J246" t="s">
        <v>3100</v>
      </c>
    </row>
    <row r="247" spans="1:10">
      <c r="A247" t="s">
        <v>3130</v>
      </c>
      <c r="B247" t="s">
        <v>388</v>
      </c>
      <c r="C247">
        <v>1</v>
      </c>
      <c r="E247">
        <v>124388</v>
      </c>
      <c r="G247">
        <v>5</v>
      </c>
      <c r="I247" t="s">
        <v>3013</v>
      </c>
      <c r="J247" t="s">
        <v>3100</v>
      </c>
    </row>
    <row r="248" spans="1:10">
      <c r="A248" t="s">
        <v>3131</v>
      </c>
      <c r="B248" t="s">
        <v>388</v>
      </c>
      <c r="C248">
        <v>1</v>
      </c>
      <c r="E248">
        <v>124515</v>
      </c>
      <c r="G248">
        <v>5</v>
      </c>
      <c r="I248" t="s">
        <v>3013</v>
      </c>
      <c r="J248" t="s">
        <v>3100</v>
      </c>
    </row>
    <row r="249" spans="1:10">
      <c r="A249" t="s">
        <v>3132</v>
      </c>
      <c r="B249" t="s">
        <v>388</v>
      </c>
      <c r="C249">
        <v>1</v>
      </c>
      <c r="E249">
        <v>124595</v>
      </c>
      <c r="G249">
        <v>5</v>
      </c>
      <c r="I249" t="s">
        <v>3013</v>
      </c>
      <c r="J249" t="s">
        <v>3100</v>
      </c>
    </row>
    <row r="250" spans="1:10">
      <c r="A250" t="s">
        <v>3133</v>
      </c>
      <c r="B250" t="s">
        <v>388</v>
      </c>
      <c r="C250">
        <v>1</v>
      </c>
      <c r="E250">
        <v>124662</v>
      </c>
      <c r="G250">
        <v>5</v>
      </c>
      <c r="I250" t="s">
        <v>3013</v>
      </c>
      <c r="J250" t="s">
        <v>3100</v>
      </c>
    </row>
    <row r="251" spans="1:10">
      <c r="A251" t="s">
        <v>3134</v>
      </c>
      <c r="B251" t="s">
        <v>388</v>
      </c>
      <c r="C251">
        <v>1</v>
      </c>
      <c r="E251">
        <v>124717</v>
      </c>
      <c r="G251">
        <v>5</v>
      </c>
      <c r="I251" t="s">
        <v>3013</v>
      </c>
      <c r="J251" t="s">
        <v>3100</v>
      </c>
    </row>
    <row r="252" spans="1:10">
      <c r="A252" t="s">
        <v>3135</v>
      </c>
      <c r="B252" t="s">
        <v>388</v>
      </c>
      <c r="C252">
        <v>1</v>
      </c>
      <c r="E252">
        <v>124761</v>
      </c>
      <c r="G252">
        <v>5</v>
      </c>
      <c r="I252" t="s">
        <v>3013</v>
      </c>
      <c r="J252" t="s">
        <v>3100</v>
      </c>
    </row>
    <row r="253" spans="1:10">
      <c r="A253" t="s">
        <v>3136</v>
      </c>
      <c r="B253" t="s">
        <v>202</v>
      </c>
      <c r="C253" t="s">
        <v>203</v>
      </c>
      <c r="E253">
        <v>125124.35</v>
      </c>
      <c r="I253" t="s">
        <v>3013</v>
      </c>
    </row>
    <row r="254" spans="1:10">
      <c r="A254" t="s">
        <v>3137</v>
      </c>
      <c r="B254" t="s">
        <v>394</v>
      </c>
      <c r="C254">
        <v>1</v>
      </c>
      <c r="E254">
        <v>125933</v>
      </c>
      <c r="G254">
        <v>16</v>
      </c>
      <c r="I254" t="s">
        <v>3013</v>
      </c>
      <c r="J254" t="s">
        <v>3122</v>
      </c>
    </row>
    <row r="255" spans="1:10">
      <c r="A255" t="s">
        <v>3137</v>
      </c>
      <c r="B255" t="s">
        <v>388</v>
      </c>
      <c r="C255">
        <v>1</v>
      </c>
      <c r="E255">
        <v>126263</v>
      </c>
      <c r="G255">
        <v>3</v>
      </c>
      <c r="I255" t="s">
        <v>3013</v>
      </c>
      <c r="J255" t="s">
        <v>3122</v>
      </c>
    </row>
    <row r="256" spans="1:10">
      <c r="A256" t="s">
        <v>3138</v>
      </c>
      <c r="B256" t="s">
        <v>388</v>
      </c>
      <c r="C256">
        <v>1</v>
      </c>
      <c r="E256">
        <v>130632</v>
      </c>
      <c r="G256">
        <v>30</v>
      </c>
      <c r="I256" t="s">
        <v>3013</v>
      </c>
      <c r="J256" t="s">
        <v>3122</v>
      </c>
    </row>
    <row r="257" spans="1:10">
      <c r="A257" t="s">
        <v>3139</v>
      </c>
      <c r="B257" t="s">
        <v>394</v>
      </c>
      <c r="C257">
        <v>1</v>
      </c>
      <c r="E257">
        <v>131540.5</v>
      </c>
      <c r="G257">
        <v>0.7</v>
      </c>
      <c r="I257" t="s">
        <v>3013</v>
      </c>
      <c r="J257" t="s">
        <v>3140</v>
      </c>
    </row>
    <row r="258" spans="1:10">
      <c r="A258" t="s">
        <v>3139</v>
      </c>
      <c r="B258" t="s">
        <v>388</v>
      </c>
      <c r="C258">
        <v>1</v>
      </c>
      <c r="E258">
        <v>131546.20000000001</v>
      </c>
      <c r="G258">
        <v>0.7</v>
      </c>
      <c r="I258" t="s">
        <v>3013</v>
      </c>
      <c r="J258" t="s">
        <v>3140</v>
      </c>
    </row>
    <row r="259" spans="1:10">
      <c r="A259" t="s">
        <v>3141</v>
      </c>
      <c r="B259" t="s">
        <v>394</v>
      </c>
      <c r="C259">
        <v>1</v>
      </c>
      <c r="E259">
        <v>133209.70000000001</v>
      </c>
      <c r="G259">
        <v>0.7</v>
      </c>
      <c r="I259" t="s">
        <v>3013</v>
      </c>
      <c r="J259" t="s">
        <v>3140</v>
      </c>
    </row>
    <row r="260" spans="1:10">
      <c r="A260" t="s">
        <v>3141</v>
      </c>
      <c r="B260" t="s">
        <v>388</v>
      </c>
      <c r="C260">
        <v>1</v>
      </c>
      <c r="E260">
        <v>133336.70000000001</v>
      </c>
      <c r="G260">
        <v>0.7</v>
      </c>
      <c r="I260" t="s">
        <v>3013</v>
      </c>
      <c r="J260" t="s">
        <v>3140</v>
      </c>
    </row>
    <row r="261" spans="1:10">
      <c r="A261" t="s">
        <v>3142</v>
      </c>
      <c r="B261" t="s">
        <v>388</v>
      </c>
      <c r="C261">
        <v>1</v>
      </c>
      <c r="E261">
        <v>133624.5</v>
      </c>
      <c r="G261">
        <v>0.7</v>
      </c>
      <c r="I261" t="s">
        <v>3013</v>
      </c>
      <c r="J261" t="s">
        <v>3140</v>
      </c>
    </row>
    <row r="262" spans="1:10">
      <c r="A262" t="s">
        <v>3143</v>
      </c>
      <c r="B262" t="s">
        <v>394</v>
      </c>
      <c r="C262">
        <v>1</v>
      </c>
      <c r="E262">
        <v>134050.79999999999</v>
      </c>
      <c r="G262">
        <v>1</v>
      </c>
      <c r="I262" t="s">
        <v>3013</v>
      </c>
      <c r="J262" t="s">
        <v>3140</v>
      </c>
    </row>
    <row r="263" spans="1:10">
      <c r="A263" t="s">
        <v>3143</v>
      </c>
      <c r="B263" t="s">
        <v>388</v>
      </c>
      <c r="C263">
        <v>1</v>
      </c>
      <c r="E263">
        <v>134050.79999999999</v>
      </c>
      <c r="G263">
        <v>1</v>
      </c>
      <c r="I263" t="s">
        <v>3013</v>
      </c>
      <c r="J263" t="s">
        <v>3140</v>
      </c>
    </row>
    <row r="264" spans="1:10">
      <c r="A264" t="s">
        <v>3144</v>
      </c>
      <c r="B264" t="s">
        <v>388</v>
      </c>
      <c r="C264">
        <v>1</v>
      </c>
      <c r="E264">
        <v>134263</v>
      </c>
      <c r="G264">
        <v>0.7</v>
      </c>
      <c r="I264" t="s">
        <v>3013</v>
      </c>
      <c r="J264" t="s">
        <v>3140</v>
      </c>
    </row>
    <row r="265" spans="1:10">
      <c r="A265" t="s">
        <v>3145</v>
      </c>
      <c r="B265" t="s">
        <v>388</v>
      </c>
      <c r="C265">
        <v>1</v>
      </c>
      <c r="E265">
        <v>135167.5</v>
      </c>
      <c r="G265">
        <v>0.7</v>
      </c>
      <c r="I265" t="s">
        <v>3013</v>
      </c>
      <c r="J265" t="s">
        <v>3140</v>
      </c>
    </row>
    <row r="266" spans="1:10">
      <c r="A266" t="s">
        <v>3146</v>
      </c>
      <c r="B266" t="s">
        <v>394</v>
      </c>
      <c r="C266">
        <v>1</v>
      </c>
      <c r="E266">
        <v>135409.20000000001</v>
      </c>
      <c r="G266">
        <v>0.7</v>
      </c>
      <c r="I266" t="s">
        <v>3013</v>
      </c>
      <c r="J266" t="s">
        <v>3140</v>
      </c>
    </row>
    <row r="267" spans="1:10">
      <c r="A267" t="s">
        <v>3146</v>
      </c>
      <c r="B267" t="s">
        <v>388</v>
      </c>
      <c r="C267">
        <v>1</v>
      </c>
      <c r="E267">
        <v>135412.9</v>
      </c>
      <c r="G267">
        <v>0.7</v>
      </c>
      <c r="I267" t="s">
        <v>3013</v>
      </c>
      <c r="J267" t="s">
        <v>3140</v>
      </c>
    </row>
    <row r="268" spans="1:10">
      <c r="A268" t="s">
        <v>3147</v>
      </c>
      <c r="B268" t="s">
        <v>388</v>
      </c>
      <c r="C268">
        <v>1</v>
      </c>
      <c r="E268">
        <v>136076.79999999999</v>
      </c>
      <c r="G268">
        <v>0.7</v>
      </c>
      <c r="I268" t="s">
        <v>3013</v>
      </c>
      <c r="J268" t="s">
        <v>3140</v>
      </c>
    </row>
    <row r="269" spans="1:10">
      <c r="A269" t="s">
        <v>3148</v>
      </c>
      <c r="B269" t="s">
        <v>388</v>
      </c>
      <c r="C269">
        <v>1</v>
      </c>
      <c r="E269">
        <v>136231.6</v>
      </c>
      <c r="G269">
        <v>0.7</v>
      </c>
      <c r="I269" t="s">
        <v>3013</v>
      </c>
      <c r="J269" t="s">
        <v>3140</v>
      </c>
    </row>
    <row r="270" spans="1:10">
      <c r="A270" t="s">
        <v>3149</v>
      </c>
      <c r="B270" t="s">
        <v>394</v>
      </c>
      <c r="C270">
        <v>1</v>
      </c>
      <c r="E270">
        <v>136274.70000000001</v>
      </c>
      <c r="G270">
        <v>0.7</v>
      </c>
      <c r="I270" t="s">
        <v>3013</v>
      </c>
      <c r="J270" t="s">
        <v>3140</v>
      </c>
    </row>
    <row r="271" spans="1:10">
      <c r="A271" t="s">
        <v>3149</v>
      </c>
      <c r="B271" t="s">
        <v>388</v>
      </c>
      <c r="C271">
        <v>1</v>
      </c>
      <c r="E271">
        <v>136333.79999999999</v>
      </c>
      <c r="G271">
        <v>0.7</v>
      </c>
      <c r="I271" t="s">
        <v>3013</v>
      </c>
      <c r="J271" t="s">
        <v>3140</v>
      </c>
    </row>
    <row r="272" spans="1:10">
      <c r="A272" t="s">
        <v>3150</v>
      </c>
      <c r="B272" t="s">
        <v>388</v>
      </c>
      <c r="C272">
        <v>1</v>
      </c>
      <c r="E272">
        <v>136666.5</v>
      </c>
      <c r="G272">
        <v>0.7</v>
      </c>
      <c r="I272" t="s">
        <v>3013</v>
      </c>
      <c r="J272" t="s">
        <v>3140</v>
      </c>
    </row>
    <row r="273" spans="1:10">
      <c r="A273" t="s">
        <v>3151</v>
      </c>
      <c r="B273" t="s">
        <v>388</v>
      </c>
      <c r="C273">
        <v>1</v>
      </c>
      <c r="E273">
        <v>136763.70000000001</v>
      </c>
      <c r="G273">
        <v>0.7</v>
      </c>
      <c r="I273" t="s">
        <v>3013</v>
      </c>
      <c r="J273" t="s">
        <v>3140</v>
      </c>
    </row>
    <row r="274" spans="1:10">
      <c r="A274" t="s">
        <v>3152</v>
      </c>
      <c r="B274" t="s">
        <v>388</v>
      </c>
      <c r="C274">
        <v>1</v>
      </c>
      <c r="E274">
        <v>136771</v>
      </c>
      <c r="G274">
        <v>0.7</v>
      </c>
      <c r="I274" t="s">
        <v>3013</v>
      </c>
      <c r="J274" t="s">
        <v>3140</v>
      </c>
    </row>
    <row r="275" spans="1:10">
      <c r="A275" t="s">
        <v>3153</v>
      </c>
      <c r="B275" t="s">
        <v>388</v>
      </c>
      <c r="C275">
        <v>1</v>
      </c>
      <c r="E275">
        <v>137059.5</v>
      </c>
      <c r="G275">
        <v>0.8</v>
      </c>
      <c r="I275" t="s">
        <v>3013</v>
      </c>
      <c r="J275" t="s">
        <v>3140</v>
      </c>
    </row>
    <row r="276" spans="1:10">
      <c r="A276" t="s">
        <v>3154</v>
      </c>
      <c r="B276" t="s">
        <v>388</v>
      </c>
      <c r="C276">
        <v>1</v>
      </c>
      <c r="E276">
        <v>137128.1</v>
      </c>
      <c r="G276">
        <v>0.8</v>
      </c>
      <c r="I276" t="s">
        <v>3013</v>
      </c>
      <c r="J276" t="s">
        <v>3140</v>
      </c>
    </row>
    <row r="277" spans="1:10">
      <c r="A277" t="s">
        <v>3155</v>
      </c>
      <c r="B277" t="s">
        <v>388</v>
      </c>
      <c r="C277">
        <v>1</v>
      </c>
      <c r="E277">
        <v>137338.9</v>
      </c>
      <c r="G277">
        <v>0.8</v>
      </c>
      <c r="I277" t="s">
        <v>3013</v>
      </c>
      <c r="J277" t="s">
        <v>3140</v>
      </c>
    </row>
    <row r="278" spans="1:10">
      <c r="A278" t="s">
        <v>3156</v>
      </c>
      <c r="B278" t="s">
        <v>388</v>
      </c>
      <c r="C278">
        <v>1</v>
      </c>
      <c r="E278">
        <v>137388.1</v>
      </c>
      <c r="G278">
        <v>0.8</v>
      </c>
      <c r="I278" t="s">
        <v>3013</v>
      </c>
      <c r="J278" t="s">
        <v>3140</v>
      </c>
    </row>
    <row r="279" spans="1:10">
      <c r="A279" t="s">
        <v>3157</v>
      </c>
      <c r="B279" t="s">
        <v>388</v>
      </c>
      <c r="C279">
        <v>1</v>
      </c>
      <c r="E279">
        <v>137543.29999999999</v>
      </c>
      <c r="G279">
        <v>0.8</v>
      </c>
      <c r="I279" t="s">
        <v>3013</v>
      </c>
      <c r="J279" t="s">
        <v>3140</v>
      </c>
    </row>
    <row r="280" spans="1:10">
      <c r="A280" t="s">
        <v>3158</v>
      </c>
      <c r="B280" t="s">
        <v>388</v>
      </c>
      <c r="C280">
        <v>1</v>
      </c>
      <c r="E280">
        <v>137580.5</v>
      </c>
      <c r="G280">
        <v>0.8</v>
      </c>
      <c r="I280" t="s">
        <v>3013</v>
      </c>
      <c r="J280" t="s">
        <v>3140</v>
      </c>
    </row>
    <row r="281" spans="1:10">
      <c r="A281" t="s">
        <v>3159</v>
      </c>
      <c r="B281" t="s">
        <v>388</v>
      </c>
      <c r="C281">
        <v>1</v>
      </c>
      <c r="E281">
        <v>137698</v>
      </c>
      <c r="G281">
        <v>0.8</v>
      </c>
      <c r="I281" t="s">
        <v>3013</v>
      </c>
      <c r="J281" t="s">
        <v>3140</v>
      </c>
    </row>
    <row r="282" spans="1:10">
      <c r="A282" t="s">
        <v>3160</v>
      </c>
      <c r="B282" t="s">
        <v>388</v>
      </c>
      <c r="C282">
        <v>1</v>
      </c>
      <c r="E282">
        <v>137726.1</v>
      </c>
      <c r="G282">
        <v>0.8</v>
      </c>
      <c r="I282" t="s">
        <v>3013</v>
      </c>
      <c r="J282" t="s">
        <v>3140</v>
      </c>
    </row>
    <row r="283" spans="1:10">
      <c r="A283" t="s">
        <v>3161</v>
      </c>
      <c r="B283" t="s">
        <v>388</v>
      </c>
      <c r="C283">
        <v>1</v>
      </c>
      <c r="E283">
        <v>137816.20000000001</v>
      </c>
      <c r="G283">
        <v>0.8</v>
      </c>
      <c r="I283" t="s">
        <v>3013</v>
      </c>
      <c r="J283" t="s">
        <v>3140</v>
      </c>
    </row>
    <row r="284" spans="1:10">
      <c r="A284" t="s">
        <v>3162</v>
      </c>
      <c r="B284" t="s">
        <v>394</v>
      </c>
      <c r="C284">
        <v>1</v>
      </c>
      <c r="E284">
        <v>137860.1</v>
      </c>
      <c r="G284">
        <v>0.8</v>
      </c>
      <c r="I284" t="s">
        <v>3013</v>
      </c>
      <c r="J284" t="s">
        <v>3140</v>
      </c>
    </row>
    <row r="285" spans="1:10">
      <c r="A285" t="s">
        <v>3162</v>
      </c>
      <c r="B285" t="s">
        <v>388</v>
      </c>
      <c r="C285">
        <v>1</v>
      </c>
      <c r="E285">
        <v>137891.1</v>
      </c>
      <c r="G285">
        <v>0.8</v>
      </c>
      <c r="I285" t="s">
        <v>3013</v>
      </c>
      <c r="J285" t="s">
        <v>3140</v>
      </c>
    </row>
    <row r="286" spans="1:10">
      <c r="A286" t="s">
        <v>3163</v>
      </c>
      <c r="B286" t="s">
        <v>388</v>
      </c>
      <c r="C286">
        <v>1</v>
      </c>
      <c r="E286">
        <v>137914.5</v>
      </c>
      <c r="G286">
        <v>0.8</v>
      </c>
      <c r="I286" t="s">
        <v>3013</v>
      </c>
      <c r="J286" t="s">
        <v>3140</v>
      </c>
    </row>
    <row r="287" spans="1:10">
      <c r="A287" t="s">
        <v>3164</v>
      </c>
      <c r="B287" t="s">
        <v>388</v>
      </c>
      <c r="C287">
        <v>1</v>
      </c>
      <c r="E287">
        <v>137990.20000000001</v>
      </c>
      <c r="G287">
        <v>0.8</v>
      </c>
      <c r="I287" t="s">
        <v>3013</v>
      </c>
      <c r="J287" t="s">
        <v>3140</v>
      </c>
    </row>
    <row r="288" spans="1:10">
      <c r="A288" t="s">
        <v>3165</v>
      </c>
      <c r="B288" t="s">
        <v>388</v>
      </c>
      <c r="C288">
        <v>1</v>
      </c>
      <c r="E288">
        <v>138051.20000000001</v>
      </c>
      <c r="G288">
        <v>0.8</v>
      </c>
      <c r="I288" t="s">
        <v>3013</v>
      </c>
      <c r="J288" t="s">
        <v>3140</v>
      </c>
    </row>
    <row r="289" spans="1:10">
      <c r="A289" t="s">
        <v>3166</v>
      </c>
      <c r="B289" t="s">
        <v>388</v>
      </c>
      <c r="C289">
        <v>1</v>
      </c>
      <c r="E289">
        <v>138102.5</v>
      </c>
      <c r="G289">
        <v>0.8</v>
      </c>
      <c r="I289" t="s">
        <v>3013</v>
      </c>
      <c r="J289" t="s">
        <v>3140</v>
      </c>
    </row>
    <row r="290" spans="1:10">
      <c r="A290" t="s">
        <v>3167</v>
      </c>
      <c r="B290" t="s">
        <v>388</v>
      </c>
      <c r="C290">
        <v>1</v>
      </c>
      <c r="E290">
        <v>138132.79999999999</v>
      </c>
      <c r="G290">
        <v>0.8</v>
      </c>
      <c r="I290" t="s">
        <v>3013</v>
      </c>
      <c r="J290" t="s">
        <v>3140</v>
      </c>
    </row>
    <row r="291" spans="1:10">
      <c r="A291" t="s">
        <v>3168</v>
      </c>
      <c r="B291" t="s">
        <v>388</v>
      </c>
      <c r="C291">
        <v>1</v>
      </c>
      <c r="E291">
        <v>138145</v>
      </c>
      <c r="G291">
        <v>0.8</v>
      </c>
      <c r="I291" t="s">
        <v>3013</v>
      </c>
      <c r="J291" t="s">
        <v>3140</v>
      </c>
    </row>
    <row r="292" spans="1:10">
      <c r="A292" t="s">
        <v>3169</v>
      </c>
      <c r="B292" t="s">
        <v>388</v>
      </c>
      <c r="C292">
        <v>1</v>
      </c>
      <c r="E292">
        <v>138182.39999999999</v>
      </c>
      <c r="G292">
        <v>0.8</v>
      </c>
      <c r="I292" t="s">
        <v>3013</v>
      </c>
      <c r="J292" t="s">
        <v>3140</v>
      </c>
    </row>
    <row r="293" spans="1:10">
      <c r="A293" t="s">
        <v>3170</v>
      </c>
      <c r="B293" t="s">
        <v>388</v>
      </c>
      <c r="C293">
        <v>1</v>
      </c>
      <c r="E293">
        <v>138214.5</v>
      </c>
      <c r="G293">
        <v>0.8</v>
      </c>
      <c r="I293" t="s">
        <v>3013</v>
      </c>
      <c r="J293" t="s">
        <v>3140</v>
      </c>
    </row>
    <row r="294" spans="1:10">
      <c r="A294" t="s">
        <v>3171</v>
      </c>
      <c r="B294" t="s">
        <v>388</v>
      </c>
      <c r="C294">
        <v>1</v>
      </c>
      <c r="E294">
        <v>138238</v>
      </c>
      <c r="G294">
        <v>0.8</v>
      </c>
      <c r="I294" t="s">
        <v>3013</v>
      </c>
      <c r="J294" t="s">
        <v>3140</v>
      </c>
    </row>
    <row r="295" spans="1:10">
      <c r="A295" t="s">
        <v>3172</v>
      </c>
      <c r="B295" t="s">
        <v>388</v>
      </c>
      <c r="C295">
        <v>1</v>
      </c>
      <c r="E295">
        <v>138261</v>
      </c>
      <c r="G295">
        <v>0.8</v>
      </c>
      <c r="I295" t="s">
        <v>3013</v>
      </c>
      <c r="J295" t="s">
        <v>3140</v>
      </c>
    </row>
    <row r="296" spans="1:10">
      <c r="A296" t="s">
        <v>3173</v>
      </c>
      <c r="B296" t="s">
        <v>388</v>
      </c>
      <c r="C296">
        <v>1</v>
      </c>
      <c r="E296">
        <v>138282.20000000001</v>
      </c>
      <c r="G296">
        <v>0.8</v>
      </c>
      <c r="I296" t="s">
        <v>3013</v>
      </c>
      <c r="J296" t="s">
        <v>3140</v>
      </c>
    </row>
    <row r="297" spans="1:10">
      <c r="A297" t="s">
        <v>3174</v>
      </c>
      <c r="B297" t="s">
        <v>388</v>
      </c>
      <c r="C297">
        <v>1</v>
      </c>
      <c r="E297">
        <v>138300.29999999999</v>
      </c>
      <c r="G297">
        <v>0.8</v>
      </c>
      <c r="I297" t="s">
        <v>3013</v>
      </c>
      <c r="J297" t="s">
        <v>3140</v>
      </c>
    </row>
    <row r="298" spans="1:10">
      <c r="A298" t="s">
        <v>3175</v>
      </c>
      <c r="B298" t="s">
        <v>388</v>
      </c>
      <c r="C298">
        <v>1</v>
      </c>
      <c r="E298">
        <v>138314.29999999999</v>
      </c>
      <c r="G298">
        <v>0.8</v>
      </c>
      <c r="I298" t="s">
        <v>3013</v>
      </c>
      <c r="J298" t="s">
        <v>3140</v>
      </c>
    </row>
    <row r="299" spans="1:10">
      <c r="A299" t="s">
        <v>3176</v>
      </c>
      <c r="B299" t="s">
        <v>388</v>
      </c>
      <c r="C299">
        <v>1</v>
      </c>
      <c r="E299">
        <v>138328.79999999999</v>
      </c>
      <c r="G299">
        <v>0.8</v>
      </c>
      <c r="I299" t="s">
        <v>3013</v>
      </c>
      <c r="J299" t="s">
        <v>3140</v>
      </c>
    </row>
    <row r="300" spans="1:10">
      <c r="A300" t="s">
        <v>3177</v>
      </c>
      <c r="B300" t="s">
        <v>388</v>
      </c>
      <c r="C300">
        <v>1</v>
      </c>
      <c r="E300">
        <v>138341.29999999999</v>
      </c>
      <c r="G300">
        <v>0.8</v>
      </c>
      <c r="I300" t="s">
        <v>3013</v>
      </c>
      <c r="J300" t="s">
        <v>3140</v>
      </c>
    </row>
    <row r="301" spans="1:10">
      <c r="A301" t="s">
        <v>3178</v>
      </c>
      <c r="B301" t="s">
        <v>388</v>
      </c>
      <c r="C301">
        <v>1</v>
      </c>
      <c r="E301">
        <v>138352</v>
      </c>
      <c r="G301">
        <v>0.8</v>
      </c>
      <c r="I301" t="s">
        <v>3013</v>
      </c>
      <c r="J301" t="s">
        <v>3140</v>
      </c>
    </row>
    <row r="302" spans="1:10">
      <c r="A302" t="s">
        <v>3179</v>
      </c>
      <c r="B302" t="s">
        <v>388</v>
      </c>
      <c r="C302">
        <v>1</v>
      </c>
      <c r="E302">
        <v>138360.6</v>
      </c>
      <c r="G302">
        <v>0.8</v>
      </c>
      <c r="I302" t="s">
        <v>3013</v>
      </c>
      <c r="J302" t="s">
        <v>3140</v>
      </c>
    </row>
    <row r="303" spans="1:10">
      <c r="A303" t="s">
        <v>3180</v>
      </c>
      <c r="B303" t="s">
        <v>388</v>
      </c>
      <c r="C303">
        <v>1</v>
      </c>
      <c r="E303">
        <v>138369.60000000001</v>
      </c>
      <c r="G303">
        <v>0.8</v>
      </c>
      <c r="I303" t="s">
        <v>3013</v>
      </c>
      <c r="J303" t="s">
        <v>3140</v>
      </c>
    </row>
    <row r="304" spans="1:10">
      <c r="A304" t="s">
        <v>3181</v>
      </c>
      <c r="B304" t="s">
        <v>388</v>
      </c>
      <c r="C304">
        <v>1</v>
      </c>
      <c r="E304">
        <v>138377.29999999999</v>
      </c>
      <c r="G304">
        <v>0.8</v>
      </c>
      <c r="I304" t="s">
        <v>3013</v>
      </c>
      <c r="J304" t="s">
        <v>3140</v>
      </c>
    </row>
    <row r="305" spans="1:10">
      <c r="A305" t="s">
        <v>3182</v>
      </c>
      <c r="B305" t="s">
        <v>202</v>
      </c>
      <c r="C305" t="s">
        <v>203</v>
      </c>
      <c r="E305">
        <v>138491.76</v>
      </c>
      <c r="I305" t="s">
        <v>3013</v>
      </c>
    </row>
    <row r="306" spans="1:10">
      <c r="A306" t="s">
        <v>3183</v>
      </c>
      <c r="B306" t="s">
        <v>394</v>
      </c>
      <c r="C306">
        <v>1</v>
      </c>
      <c r="E306">
        <v>138787.1</v>
      </c>
      <c r="G306">
        <v>0.8</v>
      </c>
      <c r="I306" t="s">
        <v>3013</v>
      </c>
      <c r="J306" t="s">
        <v>3140</v>
      </c>
    </row>
    <row r="307" spans="1:10">
      <c r="A307" t="s">
        <v>3183</v>
      </c>
      <c r="B307" t="s">
        <v>388</v>
      </c>
      <c r="C307">
        <v>1</v>
      </c>
      <c r="E307">
        <v>138806.20000000001</v>
      </c>
      <c r="G307">
        <v>0.8</v>
      </c>
      <c r="I307" t="s">
        <v>3013</v>
      </c>
      <c r="J307" t="s">
        <v>3140</v>
      </c>
    </row>
    <row r="308" spans="1:10">
      <c r="A308" t="s">
        <v>3184</v>
      </c>
      <c r="B308" t="s">
        <v>388</v>
      </c>
      <c r="C308">
        <v>1</v>
      </c>
      <c r="E308">
        <v>138955.70000000001</v>
      </c>
      <c r="G308">
        <v>0.8</v>
      </c>
      <c r="I308" t="s">
        <v>3013</v>
      </c>
      <c r="J308" t="s">
        <v>3140</v>
      </c>
    </row>
    <row r="309" spans="1:10">
      <c r="A309" t="s">
        <v>3185</v>
      </c>
      <c r="B309" t="s">
        <v>394</v>
      </c>
      <c r="C309">
        <v>1</v>
      </c>
      <c r="E309">
        <v>139375.29999999999</v>
      </c>
      <c r="G309">
        <v>0.8</v>
      </c>
      <c r="I309" t="s">
        <v>3013</v>
      </c>
      <c r="J309" t="s">
        <v>3140</v>
      </c>
    </row>
    <row r="310" spans="1:10">
      <c r="A310" t="s">
        <v>3185</v>
      </c>
      <c r="B310" t="s">
        <v>388</v>
      </c>
      <c r="C310">
        <v>1</v>
      </c>
      <c r="E310">
        <v>139388.79999999999</v>
      </c>
      <c r="G310">
        <v>0.8</v>
      </c>
      <c r="I310" t="s">
        <v>3013</v>
      </c>
      <c r="J310" t="s">
        <v>3140</v>
      </c>
    </row>
    <row r="311" spans="1:10">
      <c r="A311" t="s">
        <v>3186</v>
      </c>
      <c r="B311" t="s">
        <v>388</v>
      </c>
      <c r="C311">
        <v>1</v>
      </c>
      <c r="E311">
        <v>139486.20000000001</v>
      </c>
      <c r="G311">
        <v>0.8</v>
      </c>
      <c r="I311" t="s">
        <v>3013</v>
      </c>
      <c r="J311" t="s">
        <v>3140</v>
      </c>
    </row>
    <row r="312" spans="1:10">
      <c r="A312" t="s">
        <v>3187</v>
      </c>
      <c r="B312" t="s">
        <v>394</v>
      </c>
      <c r="C312">
        <v>1</v>
      </c>
      <c r="E312">
        <v>139774.29999999999</v>
      </c>
      <c r="G312">
        <v>0.8</v>
      </c>
      <c r="I312" t="s">
        <v>3013</v>
      </c>
      <c r="J312" t="s">
        <v>3140</v>
      </c>
    </row>
    <row r="313" spans="1:10">
      <c r="A313" t="s">
        <v>3187</v>
      </c>
      <c r="B313" t="s">
        <v>388</v>
      </c>
      <c r="C313">
        <v>1</v>
      </c>
      <c r="E313">
        <v>139782.29999999999</v>
      </c>
      <c r="G313">
        <v>0.8</v>
      </c>
      <c r="I313" t="s">
        <v>3013</v>
      </c>
      <c r="J313" t="s">
        <v>3140</v>
      </c>
    </row>
    <row r="314" spans="1:10">
      <c r="A314" t="s">
        <v>3188</v>
      </c>
      <c r="B314" t="s">
        <v>388</v>
      </c>
      <c r="C314">
        <v>1</v>
      </c>
      <c r="E314">
        <v>139850.20000000001</v>
      </c>
      <c r="G314">
        <v>0.8</v>
      </c>
      <c r="I314" t="s">
        <v>3013</v>
      </c>
      <c r="J314" t="s">
        <v>3140</v>
      </c>
    </row>
    <row r="315" spans="1:10">
      <c r="A315" t="s">
        <v>3189</v>
      </c>
      <c r="B315" t="s">
        <v>394</v>
      </c>
      <c r="C315">
        <v>1</v>
      </c>
      <c r="E315">
        <v>140057.60000000001</v>
      </c>
      <c r="G315">
        <v>0.8</v>
      </c>
      <c r="I315" t="s">
        <v>3013</v>
      </c>
      <c r="J315" t="s">
        <v>3140</v>
      </c>
    </row>
    <row r="316" spans="1:10">
      <c r="A316" t="s">
        <v>3189</v>
      </c>
      <c r="B316" t="s">
        <v>388</v>
      </c>
      <c r="C316">
        <v>1</v>
      </c>
      <c r="E316">
        <v>140062.1</v>
      </c>
      <c r="G316">
        <v>0.8</v>
      </c>
      <c r="I316" t="s">
        <v>3013</v>
      </c>
      <c r="J316" t="s">
        <v>3140</v>
      </c>
    </row>
    <row r="317" spans="1:10">
      <c r="A317" t="s">
        <v>3190</v>
      </c>
      <c r="B317" t="s">
        <v>388</v>
      </c>
      <c r="C317">
        <v>1</v>
      </c>
      <c r="E317">
        <v>140111</v>
      </c>
      <c r="G317">
        <v>0.8</v>
      </c>
      <c r="I317" t="s">
        <v>3013</v>
      </c>
      <c r="J317" t="s">
        <v>3140</v>
      </c>
    </row>
    <row r="318" spans="1:10">
      <c r="A318" t="s">
        <v>3191</v>
      </c>
      <c r="B318" t="s">
        <v>394</v>
      </c>
      <c r="C318">
        <v>1</v>
      </c>
      <c r="E318">
        <v>140264.5</v>
      </c>
      <c r="G318">
        <v>1.1000000000000001</v>
      </c>
      <c r="I318" t="s">
        <v>3013</v>
      </c>
      <c r="J318" t="s">
        <v>3140</v>
      </c>
    </row>
    <row r="319" spans="1:10">
      <c r="A319" t="s">
        <v>3191</v>
      </c>
      <c r="B319" t="s">
        <v>388</v>
      </c>
      <c r="C319">
        <v>1</v>
      </c>
      <c r="E319">
        <v>140264.5</v>
      </c>
      <c r="G319">
        <v>1.1000000000000001</v>
      </c>
      <c r="I319" t="s">
        <v>3013</v>
      </c>
      <c r="J319" t="s">
        <v>3140</v>
      </c>
    </row>
    <row r="320" spans="1:10">
      <c r="A320" t="s">
        <v>3192</v>
      </c>
      <c r="B320" t="s">
        <v>388</v>
      </c>
      <c r="C320">
        <v>1</v>
      </c>
      <c r="E320">
        <v>140305.60000000001</v>
      </c>
      <c r="G320">
        <v>0.8</v>
      </c>
      <c r="I320" t="s">
        <v>3013</v>
      </c>
      <c r="J320" t="s">
        <v>3140</v>
      </c>
    </row>
    <row r="321" spans="1:10">
      <c r="A321" t="s">
        <v>3193</v>
      </c>
      <c r="B321" t="s">
        <v>394</v>
      </c>
      <c r="C321">
        <v>1</v>
      </c>
      <c r="E321">
        <v>140420.20000000001</v>
      </c>
      <c r="G321">
        <v>1.1000000000000001</v>
      </c>
      <c r="I321" t="s">
        <v>3013</v>
      </c>
      <c r="J321" t="s">
        <v>3140</v>
      </c>
    </row>
    <row r="322" spans="1:10">
      <c r="A322" t="s">
        <v>3193</v>
      </c>
      <c r="B322" t="s">
        <v>388</v>
      </c>
      <c r="C322">
        <v>1</v>
      </c>
      <c r="E322">
        <v>140420.20000000001</v>
      </c>
      <c r="G322">
        <v>1.1000000000000001</v>
      </c>
      <c r="I322" t="s">
        <v>3013</v>
      </c>
      <c r="J322" t="s">
        <v>3140</v>
      </c>
    </row>
    <row r="323" spans="1:10">
      <c r="A323" t="s">
        <v>3194</v>
      </c>
      <c r="B323" t="s">
        <v>388</v>
      </c>
      <c r="C323">
        <v>1</v>
      </c>
      <c r="E323">
        <v>140449.79999999999</v>
      </c>
      <c r="G323">
        <v>0.8</v>
      </c>
      <c r="I323" t="s">
        <v>3013</v>
      </c>
      <c r="J323" t="s">
        <v>3140</v>
      </c>
    </row>
    <row r="324" spans="1:10">
      <c r="A324" t="s">
        <v>3195</v>
      </c>
      <c r="B324" t="s">
        <v>394</v>
      </c>
      <c r="C324">
        <v>1</v>
      </c>
      <c r="E324">
        <v>140541.79999999999</v>
      </c>
      <c r="G324">
        <v>1.1000000000000001</v>
      </c>
      <c r="I324" t="s">
        <v>3013</v>
      </c>
      <c r="J324" t="s">
        <v>3140</v>
      </c>
    </row>
    <row r="325" spans="1:10">
      <c r="A325" t="s">
        <v>3195</v>
      </c>
      <c r="B325" t="s">
        <v>388</v>
      </c>
      <c r="C325">
        <v>1</v>
      </c>
      <c r="E325">
        <v>140541.79999999999</v>
      </c>
      <c r="G325">
        <v>1.1000000000000001</v>
      </c>
      <c r="I325" t="s">
        <v>3013</v>
      </c>
      <c r="J325" t="s">
        <v>3140</v>
      </c>
    </row>
    <row r="326" spans="1:10">
      <c r="A326" t="s">
        <v>3196</v>
      </c>
      <c r="B326" t="s">
        <v>388</v>
      </c>
      <c r="C326">
        <v>1</v>
      </c>
      <c r="E326">
        <v>140564.1</v>
      </c>
      <c r="G326">
        <v>0.8</v>
      </c>
      <c r="I326" t="s">
        <v>3013</v>
      </c>
      <c r="J326" t="s">
        <v>3140</v>
      </c>
    </row>
    <row r="327" spans="1:10">
      <c r="A327" t="s">
        <v>3197</v>
      </c>
      <c r="B327" t="s">
        <v>394</v>
      </c>
      <c r="C327">
        <v>1</v>
      </c>
      <c r="E327">
        <v>140636.29999999999</v>
      </c>
      <c r="G327">
        <v>1.1000000000000001</v>
      </c>
      <c r="I327" t="s">
        <v>3013</v>
      </c>
      <c r="J327" t="s">
        <v>3140</v>
      </c>
    </row>
    <row r="328" spans="1:10">
      <c r="A328" t="s">
        <v>3197</v>
      </c>
      <c r="B328" t="s">
        <v>388</v>
      </c>
      <c r="C328">
        <v>1</v>
      </c>
      <c r="E328">
        <v>140636.29999999999</v>
      </c>
      <c r="G328">
        <v>1.1000000000000001</v>
      </c>
      <c r="I328" t="s">
        <v>3013</v>
      </c>
      <c r="J328" t="s">
        <v>3140</v>
      </c>
    </row>
    <row r="329" spans="1:10">
      <c r="A329" t="s">
        <v>3198</v>
      </c>
      <c r="B329" t="s">
        <v>388</v>
      </c>
      <c r="C329">
        <v>1</v>
      </c>
      <c r="E329">
        <v>140654.70000000001</v>
      </c>
      <c r="G329">
        <v>0.8</v>
      </c>
      <c r="I329" t="s">
        <v>3013</v>
      </c>
      <c r="J329" t="s">
        <v>3140</v>
      </c>
    </row>
    <row r="330" spans="1:10">
      <c r="A330" t="s">
        <v>3199</v>
      </c>
      <c r="B330" t="s">
        <v>394</v>
      </c>
      <c r="C330">
        <v>1</v>
      </c>
      <c r="E330">
        <v>140712.29999999999</v>
      </c>
      <c r="G330">
        <v>1.1000000000000001</v>
      </c>
      <c r="I330" t="s">
        <v>3013</v>
      </c>
      <c r="J330" t="s">
        <v>3140</v>
      </c>
    </row>
    <row r="331" spans="1:10">
      <c r="A331" t="s">
        <v>3199</v>
      </c>
      <c r="B331" t="s">
        <v>388</v>
      </c>
      <c r="C331">
        <v>1</v>
      </c>
      <c r="E331">
        <v>140712.29999999999</v>
      </c>
      <c r="G331">
        <v>1.1000000000000001</v>
      </c>
      <c r="I331" t="s">
        <v>3013</v>
      </c>
      <c r="J331" t="s">
        <v>3140</v>
      </c>
    </row>
    <row r="332" spans="1:10">
      <c r="A332" t="s">
        <v>3200</v>
      </c>
      <c r="B332" t="s">
        <v>388</v>
      </c>
      <c r="C332">
        <v>1</v>
      </c>
      <c r="E332">
        <v>140728.1</v>
      </c>
      <c r="G332">
        <v>0.8</v>
      </c>
      <c r="I332" t="s">
        <v>3013</v>
      </c>
      <c r="J332" t="s">
        <v>3140</v>
      </c>
    </row>
    <row r="333" spans="1:10">
      <c r="A333" t="s">
        <v>3201</v>
      </c>
      <c r="B333" t="s">
        <v>394</v>
      </c>
      <c r="C333">
        <v>1</v>
      </c>
      <c r="E333">
        <v>140776.1</v>
      </c>
      <c r="G333">
        <v>1.1000000000000001</v>
      </c>
      <c r="I333" t="s">
        <v>3013</v>
      </c>
      <c r="J333" t="s">
        <v>3140</v>
      </c>
    </row>
    <row r="334" spans="1:10">
      <c r="A334" t="s">
        <v>3201</v>
      </c>
      <c r="B334" t="s">
        <v>388</v>
      </c>
      <c r="C334">
        <v>1</v>
      </c>
      <c r="E334">
        <v>140776.1</v>
      </c>
      <c r="G334">
        <v>1.1000000000000001</v>
      </c>
      <c r="I334" t="s">
        <v>3013</v>
      </c>
      <c r="J334" t="s">
        <v>3140</v>
      </c>
    </row>
    <row r="335" spans="1:10">
      <c r="A335" t="s">
        <v>3202</v>
      </c>
      <c r="B335" t="s">
        <v>388</v>
      </c>
      <c r="C335">
        <v>1</v>
      </c>
      <c r="E335">
        <v>140787.20000000001</v>
      </c>
      <c r="G335">
        <v>0.8</v>
      </c>
      <c r="I335" t="s">
        <v>3013</v>
      </c>
      <c r="J335" t="s">
        <v>3140</v>
      </c>
    </row>
    <row r="336" spans="1:10">
      <c r="A336" t="s">
        <v>3203</v>
      </c>
      <c r="B336" t="s">
        <v>394</v>
      </c>
      <c r="C336">
        <v>1</v>
      </c>
      <c r="E336">
        <v>140826.79999999999</v>
      </c>
      <c r="G336">
        <v>1.1000000000000001</v>
      </c>
      <c r="I336" t="s">
        <v>3013</v>
      </c>
      <c r="J336" t="s">
        <v>3140</v>
      </c>
    </row>
    <row r="337" spans="1:10">
      <c r="A337" t="s">
        <v>3203</v>
      </c>
      <c r="B337" t="s">
        <v>388</v>
      </c>
      <c r="C337">
        <v>1</v>
      </c>
      <c r="E337">
        <v>140826.79999999999</v>
      </c>
      <c r="G337">
        <v>1.1000000000000001</v>
      </c>
      <c r="I337" t="s">
        <v>3013</v>
      </c>
      <c r="J337" t="s">
        <v>3140</v>
      </c>
    </row>
    <row r="338" spans="1:10">
      <c r="A338" t="s">
        <v>3204</v>
      </c>
      <c r="B338" t="s">
        <v>394</v>
      </c>
      <c r="C338">
        <v>1</v>
      </c>
      <c r="E338">
        <v>140870.29999999999</v>
      </c>
      <c r="G338">
        <v>1.1000000000000001</v>
      </c>
      <c r="I338" t="s">
        <v>3013</v>
      </c>
      <c r="J338" t="s">
        <v>3140</v>
      </c>
    </row>
    <row r="339" spans="1:10">
      <c r="A339" t="s">
        <v>3204</v>
      </c>
      <c r="B339" t="s">
        <v>388</v>
      </c>
      <c r="C339">
        <v>1</v>
      </c>
      <c r="E339">
        <v>140870.29999999999</v>
      </c>
      <c r="G339">
        <v>1.1000000000000001</v>
      </c>
      <c r="I339" t="s">
        <v>3013</v>
      </c>
      <c r="J339" t="s">
        <v>3140</v>
      </c>
    </row>
    <row r="340" spans="1:10">
      <c r="A340" t="s">
        <v>3205</v>
      </c>
      <c r="B340" t="s">
        <v>394</v>
      </c>
      <c r="C340">
        <v>1</v>
      </c>
      <c r="E340">
        <v>140906</v>
      </c>
      <c r="G340">
        <v>1.1000000000000001</v>
      </c>
      <c r="I340" t="s">
        <v>3013</v>
      </c>
      <c r="J340" t="s">
        <v>3140</v>
      </c>
    </row>
    <row r="341" spans="1:10">
      <c r="A341" t="s">
        <v>3205</v>
      </c>
      <c r="B341" t="s">
        <v>388</v>
      </c>
      <c r="C341">
        <v>1</v>
      </c>
      <c r="E341">
        <v>140906</v>
      </c>
      <c r="G341">
        <v>1.1000000000000001</v>
      </c>
      <c r="I341" t="s">
        <v>3013</v>
      </c>
      <c r="J341" t="s">
        <v>3140</v>
      </c>
    </row>
    <row r="342" spans="1:10">
      <c r="A342" t="s">
        <v>3206</v>
      </c>
      <c r="B342" t="s">
        <v>394</v>
      </c>
      <c r="C342">
        <v>1</v>
      </c>
      <c r="E342">
        <v>140938</v>
      </c>
      <c r="G342">
        <v>1.1000000000000001</v>
      </c>
      <c r="I342" t="s">
        <v>3013</v>
      </c>
      <c r="J342" t="s">
        <v>3140</v>
      </c>
    </row>
    <row r="343" spans="1:10">
      <c r="A343" t="s">
        <v>3206</v>
      </c>
      <c r="B343" t="s">
        <v>388</v>
      </c>
      <c r="C343">
        <v>1</v>
      </c>
      <c r="E343">
        <v>140938</v>
      </c>
      <c r="G343">
        <v>1.1000000000000001</v>
      </c>
      <c r="I343" t="s">
        <v>3013</v>
      </c>
      <c r="J343" t="s">
        <v>3140</v>
      </c>
    </row>
    <row r="344" spans="1:10">
      <c r="A344" t="s">
        <v>3207</v>
      </c>
      <c r="B344" t="s">
        <v>394</v>
      </c>
      <c r="C344">
        <v>1</v>
      </c>
      <c r="E344">
        <v>140963.20000000001</v>
      </c>
      <c r="G344">
        <v>1.1000000000000001</v>
      </c>
      <c r="I344" t="s">
        <v>3013</v>
      </c>
      <c r="J344" t="s">
        <v>3140</v>
      </c>
    </row>
    <row r="345" spans="1:10">
      <c r="A345" t="s">
        <v>3207</v>
      </c>
      <c r="B345" t="s">
        <v>388</v>
      </c>
      <c r="C345">
        <v>1</v>
      </c>
      <c r="E345">
        <v>140963.20000000001</v>
      </c>
      <c r="G345">
        <v>1.1000000000000001</v>
      </c>
      <c r="I345" t="s">
        <v>3013</v>
      </c>
      <c r="J345" t="s">
        <v>3140</v>
      </c>
    </row>
    <row r="346" spans="1:10">
      <c r="A346" t="s">
        <v>3208</v>
      </c>
      <c r="B346" t="s">
        <v>394</v>
      </c>
      <c r="C346">
        <v>1</v>
      </c>
      <c r="E346">
        <v>140986.70000000001</v>
      </c>
      <c r="G346">
        <v>1.1000000000000001</v>
      </c>
      <c r="I346" t="s">
        <v>3013</v>
      </c>
      <c r="J346" t="s">
        <v>3140</v>
      </c>
    </row>
    <row r="347" spans="1:10">
      <c r="A347" t="s">
        <v>3208</v>
      </c>
      <c r="B347" t="s">
        <v>388</v>
      </c>
      <c r="C347">
        <v>1</v>
      </c>
      <c r="E347">
        <v>140986.70000000001</v>
      </c>
      <c r="G347">
        <v>1.1000000000000001</v>
      </c>
      <c r="I347" t="s">
        <v>3013</v>
      </c>
      <c r="J347" t="s">
        <v>3140</v>
      </c>
    </row>
    <row r="348" spans="1:10">
      <c r="A348" t="s">
        <v>3209</v>
      </c>
      <c r="B348" t="s">
        <v>394</v>
      </c>
      <c r="C348">
        <v>1</v>
      </c>
      <c r="E348">
        <v>141006.9</v>
      </c>
      <c r="G348">
        <v>1.1000000000000001</v>
      </c>
      <c r="I348" t="s">
        <v>3013</v>
      </c>
      <c r="J348" t="s">
        <v>3140</v>
      </c>
    </row>
    <row r="349" spans="1:10">
      <c r="A349" t="s">
        <v>3209</v>
      </c>
      <c r="B349" t="s">
        <v>388</v>
      </c>
      <c r="C349">
        <v>1</v>
      </c>
      <c r="E349">
        <v>141006.9</v>
      </c>
      <c r="G349">
        <v>1.1000000000000001</v>
      </c>
      <c r="I349" t="s">
        <v>3013</v>
      </c>
      <c r="J349" t="s">
        <v>3140</v>
      </c>
    </row>
    <row r="350" spans="1:10">
      <c r="A350" t="s">
        <v>3210</v>
      </c>
      <c r="B350" t="s">
        <v>394</v>
      </c>
      <c r="C350">
        <v>1</v>
      </c>
      <c r="E350">
        <v>141025.20000000001</v>
      </c>
      <c r="G350">
        <v>1.1000000000000001</v>
      </c>
      <c r="I350" t="s">
        <v>3013</v>
      </c>
      <c r="J350" t="s">
        <v>3140</v>
      </c>
    </row>
    <row r="351" spans="1:10">
      <c r="A351" t="s">
        <v>3210</v>
      </c>
      <c r="B351" t="s">
        <v>388</v>
      </c>
      <c r="C351">
        <v>1</v>
      </c>
      <c r="E351">
        <v>141025.20000000001</v>
      </c>
      <c r="G351">
        <v>1.1000000000000001</v>
      </c>
      <c r="I351" t="s">
        <v>3013</v>
      </c>
      <c r="J351" t="s">
        <v>3140</v>
      </c>
    </row>
    <row r="352" spans="1:10">
      <c r="A352" t="s">
        <v>3211</v>
      </c>
      <c r="B352" t="s">
        <v>394</v>
      </c>
      <c r="C352">
        <v>1</v>
      </c>
      <c r="E352">
        <v>141040.29999999999</v>
      </c>
      <c r="G352">
        <v>1.1000000000000001</v>
      </c>
      <c r="I352" t="s">
        <v>3013</v>
      </c>
      <c r="J352" t="s">
        <v>3140</v>
      </c>
    </row>
    <row r="353" spans="1:10">
      <c r="A353" t="s">
        <v>3211</v>
      </c>
      <c r="B353" t="s">
        <v>388</v>
      </c>
      <c r="C353">
        <v>1</v>
      </c>
      <c r="E353">
        <v>141040.29999999999</v>
      </c>
      <c r="G353">
        <v>1.1000000000000001</v>
      </c>
      <c r="I353" t="s">
        <v>3013</v>
      </c>
      <c r="J353" t="s">
        <v>3140</v>
      </c>
    </row>
    <row r="354" spans="1:10">
      <c r="A354" t="s">
        <v>3212</v>
      </c>
      <c r="B354" t="s">
        <v>394</v>
      </c>
      <c r="C354">
        <v>1</v>
      </c>
      <c r="E354">
        <v>141052.29999999999</v>
      </c>
      <c r="G354">
        <v>1.1000000000000001</v>
      </c>
      <c r="I354" t="s">
        <v>3013</v>
      </c>
      <c r="J354" t="s">
        <v>3140</v>
      </c>
    </row>
    <row r="355" spans="1:10">
      <c r="A355" t="s">
        <v>3212</v>
      </c>
      <c r="B355" t="s">
        <v>388</v>
      </c>
      <c r="C355">
        <v>1</v>
      </c>
      <c r="E355">
        <v>141052.29999999999</v>
      </c>
      <c r="G355">
        <v>1.1000000000000001</v>
      </c>
      <c r="I355" t="s">
        <v>3013</v>
      </c>
      <c r="J355" t="s">
        <v>3140</v>
      </c>
    </row>
    <row r="356" spans="1:10">
      <c r="A356" t="s">
        <v>3213</v>
      </c>
      <c r="B356" t="s">
        <v>202</v>
      </c>
      <c r="C356" t="s">
        <v>203</v>
      </c>
      <c r="E356">
        <v>141210.95000000001</v>
      </c>
      <c r="I356" t="s">
        <v>3013</v>
      </c>
    </row>
    <row r="357" spans="1:10">
      <c r="A357" t="s">
        <v>3214</v>
      </c>
      <c r="B357" t="s">
        <v>303</v>
      </c>
      <c r="C357">
        <v>1</v>
      </c>
      <c r="E357">
        <v>159513</v>
      </c>
      <c r="G357">
        <v>20</v>
      </c>
      <c r="I357" t="s">
        <v>3013</v>
      </c>
      <c r="J357" t="s">
        <v>3100</v>
      </c>
    </row>
    <row r="358" spans="1:10">
      <c r="A358" t="s">
        <v>3215</v>
      </c>
      <c r="B358" t="s">
        <v>303</v>
      </c>
      <c r="C358">
        <v>1</v>
      </c>
      <c r="E358">
        <v>160769</v>
      </c>
      <c r="G358">
        <v>21</v>
      </c>
      <c r="I358" t="s">
        <v>3013</v>
      </c>
      <c r="J358" t="s">
        <v>3100</v>
      </c>
    </row>
    <row r="359" spans="1:10">
      <c r="A359" t="s">
        <v>3216</v>
      </c>
      <c r="B359" t="s">
        <v>303</v>
      </c>
      <c r="C359">
        <v>1</v>
      </c>
      <c r="E359">
        <v>161655</v>
      </c>
      <c r="G359">
        <v>21</v>
      </c>
      <c r="I359" t="s">
        <v>3013</v>
      </c>
      <c r="J359" t="s">
        <v>3100</v>
      </c>
    </row>
    <row r="360" spans="1:10">
      <c r="A360" t="s">
        <v>3217</v>
      </c>
      <c r="B360" t="s">
        <v>303</v>
      </c>
      <c r="C360">
        <v>1</v>
      </c>
      <c r="E360">
        <v>162269</v>
      </c>
      <c r="G360">
        <v>21</v>
      </c>
      <c r="I360" t="s">
        <v>3013</v>
      </c>
      <c r="J360" t="s">
        <v>3100</v>
      </c>
    </row>
    <row r="361" spans="1:10">
      <c r="A361" t="s">
        <v>3218</v>
      </c>
      <c r="B361" t="s">
        <v>303</v>
      </c>
      <c r="C361">
        <v>1</v>
      </c>
      <c r="E361">
        <v>162686</v>
      </c>
      <c r="G361">
        <v>21</v>
      </c>
      <c r="I361" t="s">
        <v>3013</v>
      </c>
      <c r="J361" t="s">
        <v>3100</v>
      </c>
    </row>
    <row r="362" spans="1:10">
      <c r="A362" t="s">
        <v>3219</v>
      </c>
      <c r="B362" t="s">
        <v>303</v>
      </c>
      <c r="C362">
        <v>1</v>
      </c>
      <c r="E362">
        <v>162973</v>
      </c>
      <c r="G362">
        <v>21</v>
      </c>
      <c r="I362" t="s">
        <v>3013</v>
      </c>
      <c r="J362" t="s">
        <v>3100</v>
      </c>
    </row>
    <row r="363" spans="1:10">
      <c r="A363" t="s">
        <v>3220</v>
      </c>
      <c r="B363" t="s">
        <v>202</v>
      </c>
      <c r="C363" t="s">
        <v>203</v>
      </c>
      <c r="E363">
        <v>164206.46</v>
      </c>
      <c r="I363" t="s">
        <v>3013</v>
      </c>
    </row>
    <row r="364" spans="1:10">
      <c r="A364" t="s">
        <v>3221</v>
      </c>
      <c r="B364" t="s">
        <v>303</v>
      </c>
      <c r="C364">
        <v>1</v>
      </c>
      <c r="E364">
        <v>166420</v>
      </c>
      <c r="G364">
        <v>60</v>
      </c>
      <c r="I364" t="s">
        <v>3013</v>
      </c>
      <c r="J364" t="s">
        <v>3100</v>
      </c>
    </row>
    <row r="365" spans="1:10">
      <c r="A365" t="s">
        <v>3222</v>
      </c>
      <c r="B365" t="s">
        <v>303</v>
      </c>
      <c r="C365">
        <v>1</v>
      </c>
      <c r="E365">
        <v>177051</v>
      </c>
      <c r="G365">
        <v>13</v>
      </c>
      <c r="I365" t="s">
        <v>3013</v>
      </c>
      <c r="J365" t="s">
        <v>3100</v>
      </c>
    </row>
    <row r="366" spans="1:10">
      <c r="A366" t="s">
        <v>3223</v>
      </c>
      <c r="B366" t="s">
        <v>303</v>
      </c>
      <c r="C366">
        <v>1</v>
      </c>
      <c r="E366">
        <v>178447</v>
      </c>
      <c r="G366">
        <v>30</v>
      </c>
      <c r="I366" t="s">
        <v>3013</v>
      </c>
      <c r="J366" t="s">
        <v>3100</v>
      </c>
    </row>
    <row r="367" spans="1:10">
      <c r="A367" t="s">
        <v>3224</v>
      </c>
      <c r="B367" t="s">
        <v>303</v>
      </c>
      <c r="C367">
        <v>1</v>
      </c>
      <c r="E367">
        <v>182249</v>
      </c>
      <c r="G367">
        <v>13</v>
      </c>
      <c r="I367" t="s">
        <v>3013</v>
      </c>
      <c r="J367" t="s">
        <v>3100</v>
      </c>
    </row>
    <row r="368" spans="1:10">
      <c r="A368" t="s">
        <v>3225</v>
      </c>
      <c r="B368" t="s">
        <v>303</v>
      </c>
      <c r="C368">
        <v>1</v>
      </c>
      <c r="E368">
        <v>183026</v>
      </c>
      <c r="G368">
        <v>30</v>
      </c>
      <c r="I368" t="s">
        <v>3013</v>
      </c>
      <c r="J368" t="s">
        <v>3100</v>
      </c>
    </row>
    <row r="369" spans="1:10">
      <c r="A369" t="s">
        <v>3226</v>
      </c>
      <c r="B369" t="s">
        <v>303</v>
      </c>
      <c r="C369">
        <v>1</v>
      </c>
      <c r="E369">
        <v>184648</v>
      </c>
      <c r="G369">
        <v>14</v>
      </c>
      <c r="I369" t="s">
        <v>3013</v>
      </c>
      <c r="J369" t="s">
        <v>3100</v>
      </c>
    </row>
    <row r="370" spans="1:10">
      <c r="A370" t="s">
        <v>3227</v>
      </c>
      <c r="B370" t="s">
        <v>303</v>
      </c>
      <c r="C370">
        <v>1</v>
      </c>
      <c r="E370">
        <v>185213</v>
      </c>
      <c r="G370">
        <v>30</v>
      </c>
      <c r="I370" t="s">
        <v>3013</v>
      </c>
      <c r="J370" t="s">
        <v>3100</v>
      </c>
    </row>
    <row r="371" spans="1:10">
      <c r="A371" t="s">
        <v>3228</v>
      </c>
      <c r="B371" t="s">
        <v>303</v>
      </c>
      <c r="C371">
        <v>1</v>
      </c>
      <c r="E371">
        <v>186098</v>
      </c>
      <c r="G371">
        <v>14</v>
      </c>
      <c r="I371" t="s">
        <v>3013</v>
      </c>
      <c r="J371" t="s">
        <v>3100</v>
      </c>
    </row>
    <row r="372" spans="1:10">
      <c r="A372" t="s">
        <v>3229</v>
      </c>
      <c r="B372" t="s">
        <v>303</v>
      </c>
      <c r="C372">
        <v>1</v>
      </c>
      <c r="E372">
        <v>186313</v>
      </c>
      <c r="G372">
        <v>14</v>
      </c>
      <c r="I372" t="s">
        <v>3013</v>
      </c>
      <c r="J372" t="s">
        <v>3100</v>
      </c>
    </row>
    <row r="373" spans="1:10">
      <c r="A373" t="s">
        <v>3230</v>
      </c>
      <c r="B373" t="s">
        <v>303</v>
      </c>
      <c r="C373">
        <v>1</v>
      </c>
      <c r="E373">
        <v>186930</v>
      </c>
      <c r="G373">
        <v>14</v>
      </c>
      <c r="I373" t="s">
        <v>3013</v>
      </c>
      <c r="J373" t="s">
        <v>3100</v>
      </c>
    </row>
    <row r="374" spans="1:10">
      <c r="A374" t="s">
        <v>3231</v>
      </c>
      <c r="B374" t="s">
        <v>303</v>
      </c>
      <c r="C374">
        <v>1</v>
      </c>
      <c r="E374">
        <v>187136</v>
      </c>
      <c r="G374">
        <v>14</v>
      </c>
      <c r="I374" t="s">
        <v>3013</v>
      </c>
      <c r="J374" t="s">
        <v>3100</v>
      </c>
    </row>
    <row r="375" spans="1:10">
      <c r="A375" t="s">
        <v>3232</v>
      </c>
      <c r="B375" t="s">
        <v>303</v>
      </c>
      <c r="C375">
        <v>1</v>
      </c>
      <c r="E375">
        <v>187501</v>
      </c>
      <c r="G375">
        <v>14</v>
      </c>
      <c r="I375" t="s">
        <v>3013</v>
      </c>
      <c r="J375" t="s">
        <v>3100</v>
      </c>
    </row>
    <row r="376" spans="1:10">
      <c r="A376" t="s">
        <v>3233</v>
      </c>
      <c r="B376" t="s">
        <v>303</v>
      </c>
      <c r="C376">
        <v>1</v>
      </c>
      <c r="E376">
        <v>187614</v>
      </c>
      <c r="G376">
        <v>14</v>
      </c>
      <c r="I376" t="s">
        <v>3013</v>
      </c>
      <c r="J376" t="s">
        <v>3100</v>
      </c>
    </row>
    <row r="377" spans="1:10">
      <c r="A377" t="s">
        <v>3234</v>
      </c>
      <c r="B377" t="s">
        <v>303</v>
      </c>
      <c r="C377">
        <v>1</v>
      </c>
      <c r="E377">
        <v>187860</v>
      </c>
      <c r="G377">
        <v>14</v>
      </c>
      <c r="I377" t="s">
        <v>3013</v>
      </c>
      <c r="J377" t="s">
        <v>3100</v>
      </c>
    </row>
    <row r="378" spans="1:10">
      <c r="A378" t="s">
        <v>3235</v>
      </c>
      <c r="B378" t="s">
        <v>303</v>
      </c>
      <c r="C378">
        <v>1</v>
      </c>
      <c r="E378">
        <v>188129</v>
      </c>
      <c r="G378">
        <v>14</v>
      </c>
      <c r="I378" t="s">
        <v>3013</v>
      </c>
      <c r="J378" t="s">
        <v>3100</v>
      </c>
    </row>
    <row r="379" spans="1:10">
      <c r="A379" t="s">
        <v>3236</v>
      </c>
      <c r="B379" t="s">
        <v>303</v>
      </c>
      <c r="C379">
        <v>1</v>
      </c>
      <c r="E379">
        <v>188324</v>
      </c>
      <c r="G379">
        <v>14</v>
      </c>
      <c r="I379" t="s">
        <v>3013</v>
      </c>
      <c r="J379" t="s">
        <v>3100</v>
      </c>
    </row>
    <row r="380" spans="1:10">
      <c r="A380" t="s">
        <v>3237</v>
      </c>
      <c r="B380" t="s">
        <v>303</v>
      </c>
      <c r="C380">
        <v>1</v>
      </c>
      <c r="E380">
        <v>188477</v>
      </c>
      <c r="G380">
        <v>14</v>
      </c>
      <c r="I380" t="s">
        <v>3013</v>
      </c>
      <c r="J380" t="s">
        <v>3100</v>
      </c>
    </row>
    <row r="381" spans="1:10">
      <c r="A381" t="s">
        <v>3238</v>
      </c>
      <c r="B381" t="s">
        <v>303</v>
      </c>
      <c r="C381">
        <v>1</v>
      </c>
      <c r="E381">
        <v>188580</v>
      </c>
      <c r="G381">
        <v>14</v>
      </c>
      <c r="I381" t="s">
        <v>3013</v>
      </c>
      <c r="J381" t="s">
        <v>3100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1C02-627B-4570-91A5-75AC36CF6B27}">
  <dimension ref="A1:I195"/>
  <sheetViews>
    <sheetView workbookViewId="0">
      <selection sqref="A1:I1048576"/>
    </sheetView>
  </sheetViews>
  <sheetFormatPr defaultRowHeight="15"/>
  <cols>
    <col min="1" max="1" width="13.85546875" bestFit="1" customWidth="1"/>
    <col min="2" max="2" width="6.28515625" bestFit="1" customWidth="1"/>
    <col min="3" max="3" width="7.28515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16.85546875" bestFit="1" customWidth="1"/>
  </cols>
  <sheetData>
    <row r="1" spans="1:9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3239</v>
      </c>
      <c r="B2" t="s">
        <v>2542</v>
      </c>
      <c r="C2" s="2" t="s">
        <v>250</v>
      </c>
      <c r="E2">
        <v>0</v>
      </c>
      <c r="G2">
        <v>0</v>
      </c>
      <c r="H2">
        <v>0.79800000000000004</v>
      </c>
      <c r="I2" t="s">
        <v>3240</v>
      </c>
    </row>
    <row r="3" spans="1:9">
      <c r="A3" t="s">
        <v>3239</v>
      </c>
      <c r="B3" t="s">
        <v>2542</v>
      </c>
      <c r="C3" s="2" t="s">
        <v>249</v>
      </c>
      <c r="E3">
        <v>530.351</v>
      </c>
      <c r="G3">
        <v>1E-3</v>
      </c>
      <c r="H3">
        <v>1.196</v>
      </c>
      <c r="I3" t="s">
        <v>3240</v>
      </c>
    </row>
    <row r="4" spans="1:9">
      <c r="A4" t="s">
        <v>3241</v>
      </c>
      <c r="B4" t="s">
        <v>1234</v>
      </c>
      <c r="C4" s="2" t="s">
        <v>248</v>
      </c>
      <c r="E4">
        <v>10529.169</v>
      </c>
      <c r="G4">
        <v>1E-3</v>
      </c>
      <c r="H4">
        <v>0.63</v>
      </c>
      <c r="I4" t="s">
        <v>3240</v>
      </c>
    </row>
    <row r="5" spans="1:9">
      <c r="A5" t="s">
        <v>3241</v>
      </c>
      <c r="B5" t="s">
        <v>1234</v>
      </c>
      <c r="C5" s="2" t="s">
        <v>250</v>
      </c>
      <c r="E5">
        <v>11359.757</v>
      </c>
      <c r="G5">
        <v>1E-3</v>
      </c>
      <c r="H5">
        <v>1.34</v>
      </c>
      <c r="I5" t="s">
        <v>3240</v>
      </c>
    </row>
    <row r="6" spans="1:9">
      <c r="A6" t="s">
        <v>3242</v>
      </c>
      <c r="B6" t="s">
        <v>1034</v>
      </c>
      <c r="C6" s="2" t="s">
        <v>250</v>
      </c>
      <c r="E6">
        <v>10937.39</v>
      </c>
      <c r="G6">
        <v>1E-3</v>
      </c>
      <c r="H6">
        <v>0.40200000000000002</v>
      </c>
      <c r="I6" t="s">
        <v>3240</v>
      </c>
    </row>
    <row r="7" spans="1:9">
      <c r="A7" t="s">
        <v>3242</v>
      </c>
      <c r="B7" t="s">
        <v>1034</v>
      </c>
      <c r="C7" s="2" t="s">
        <v>249</v>
      </c>
      <c r="E7">
        <v>11078.614</v>
      </c>
      <c r="G7">
        <v>1E-3</v>
      </c>
      <c r="H7">
        <v>1.0329999999999999</v>
      </c>
      <c r="I7" t="s">
        <v>3240</v>
      </c>
    </row>
    <row r="8" spans="1:9">
      <c r="A8" t="s">
        <v>3242</v>
      </c>
      <c r="B8" t="s">
        <v>1034</v>
      </c>
      <c r="C8" s="2" t="s">
        <v>251</v>
      </c>
      <c r="E8">
        <v>11277.928</v>
      </c>
      <c r="G8">
        <v>1E-3</v>
      </c>
      <c r="H8">
        <v>1.242</v>
      </c>
      <c r="I8" t="s">
        <v>3240</v>
      </c>
    </row>
    <row r="9" spans="1:9">
      <c r="A9" t="s">
        <v>3242</v>
      </c>
      <c r="B9" t="s">
        <v>1034</v>
      </c>
      <c r="C9" s="2" t="s">
        <v>252</v>
      </c>
      <c r="E9">
        <v>11532.096</v>
      </c>
      <c r="G9">
        <v>2E-3</v>
      </c>
      <c r="H9">
        <v>1.337</v>
      </c>
      <c r="I9" t="s">
        <v>3240</v>
      </c>
    </row>
    <row r="10" spans="1:9">
      <c r="A10" t="s">
        <v>3243</v>
      </c>
      <c r="B10" t="s">
        <v>1124</v>
      </c>
      <c r="C10" s="2" t="s">
        <v>250</v>
      </c>
      <c r="E10">
        <v>14948.994000000001</v>
      </c>
      <c r="G10">
        <v>1E-3</v>
      </c>
      <c r="H10">
        <v>0.47</v>
      </c>
      <c r="I10" t="s">
        <v>3240</v>
      </c>
    </row>
    <row r="11" spans="1:9">
      <c r="A11" t="s">
        <v>3243</v>
      </c>
      <c r="B11" t="s">
        <v>1124</v>
      </c>
      <c r="C11" s="2" t="s">
        <v>249</v>
      </c>
      <c r="E11">
        <v>15245.803</v>
      </c>
      <c r="G11">
        <v>1E-3</v>
      </c>
      <c r="H11">
        <v>1.08</v>
      </c>
      <c r="I11" t="s">
        <v>3240</v>
      </c>
    </row>
    <row r="12" spans="1:9">
      <c r="A12" t="s">
        <v>3243</v>
      </c>
      <c r="B12" t="s">
        <v>1124</v>
      </c>
      <c r="C12" s="2" t="s">
        <v>251</v>
      </c>
      <c r="E12">
        <v>15712.522000000001</v>
      </c>
      <c r="G12">
        <v>1E-3</v>
      </c>
      <c r="H12">
        <v>1.26</v>
      </c>
      <c r="I12" t="s">
        <v>3240</v>
      </c>
    </row>
    <row r="13" spans="1:9">
      <c r="A13" t="s">
        <v>3243</v>
      </c>
      <c r="B13" t="s">
        <v>1124</v>
      </c>
      <c r="C13" s="2" t="s">
        <v>252</v>
      </c>
      <c r="E13">
        <v>16234.382</v>
      </c>
      <c r="G13">
        <v>2E-3</v>
      </c>
      <c r="H13">
        <v>1.33</v>
      </c>
      <c r="I13" t="s">
        <v>3240</v>
      </c>
    </row>
    <row r="14" spans="1:9">
      <c r="A14" t="s">
        <v>3244</v>
      </c>
      <c r="B14" t="s">
        <v>1043</v>
      </c>
      <c r="C14" s="2" t="s">
        <v>248</v>
      </c>
      <c r="E14">
        <v>15221.633</v>
      </c>
      <c r="G14">
        <v>2E-3</v>
      </c>
      <c r="H14">
        <v>2.61</v>
      </c>
      <c r="I14" t="s">
        <v>3240</v>
      </c>
    </row>
    <row r="15" spans="1:9">
      <c r="A15" t="s">
        <v>3244</v>
      </c>
      <c r="B15" t="s">
        <v>1043</v>
      </c>
      <c r="C15" s="2" t="s">
        <v>250</v>
      </c>
      <c r="E15">
        <v>15328.865</v>
      </c>
      <c r="G15">
        <v>1E-3</v>
      </c>
      <c r="H15">
        <v>1.62</v>
      </c>
      <c r="I15" t="s">
        <v>3240</v>
      </c>
    </row>
    <row r="16" spans="1:9">
      <c r="A16" t="s">
        <v>3244</v>
      </c>
      <c r="B16" t="s">
        <v>1043</v>
      </c>
      <c r="C16" s="2" t="s">
        <v>249</v>
      </c>
      <c r="E16">
        <v>15476.532999999999</v>
      </c>
      <c r="G16">
        <v>1E-3</v>
      </c>
      <c r="H16">
        <v>1.27</v>
      </c>
      <c r="I16" t="s">
        <v>3240</v>
      </c>
    </row>
    <row r="17" spans="1:9">
      <c r="A17" t="s">
        <v>3242</v>
      </c>
      <c r="B17" t="s">
        <v>1091</v>
      </c>
      <c r="C17" s="2" t="s">
        <v>249</v>
      </c>
      <c r="E17">
        <v>15326.741</v>
      </c>
      <c r="G17">
        <v>1E-3</v>
      </c>
      <c r="H17">
        <v>1.1499999999999999</v>
      </c>
      <c r="I17" t="s">
        <v>3240</v>
      </c>
    </row>
    <row r="18" spans="1:9">
      <c r="A18" t="s">
        <v>3242</v>
      </c>
      <c r="B18" t="s">
        <v>1091</v>
      </c>
      <c r="C18" s="2" t="s">
        <v>251</v>
      </c>
      <c r="E18">
        <v>15864.481</v>
      </c>
      <c r="G18">
        <v>1E-3</v>
      </c>
      <c r="H18">
        <v>1.17</v>
      </c>
      <c r="I18" t="s">
        <v>3240</v>
      </c>
    </row>
    <row r="19" spans="1:9">
      <c r="A19" t="s">
        <v>3245</v>
      </c>
      <c r="B19" t="s">
        <v>2544</v>
      </c>
      <c r="C19" s="2" t="s">
        <v>250</v>
      </c>
      <c r="E19">
        <v>15994.045</v>
      </c>
      <c r="G19">
        <v>1E-3</v>
      </c>
      <c r="H19">
        <v>0.86</v>
      </c>
      <c r="I19" t="s">
        <v>3240</v>
      </c>
    </row>
    <row r="20" spans="1:9">
      <c r="A20" t="s">
        <v>3245</v>
      </c>
      <c r="B20" t="s">
        <v>2544</v>
      </c>
      <c r="C20" s="2" t="s">
        <v>249</v>
      </c>
      <c r="E20">
        <v>16158.865</v>
      </c>
      <c r="G20">
        <v>1E-3</v>
      </c>
      <c r="H20">
        <v>1.22</v>
      </c>
      <c r="I20" t="s">
        <v>3240</v>
      </c>
    </row>
    <row r="21" spans="1:9">
      <c r="A21" t="s">
        <v>3243</v>
      </c>
      <c r="B21" t="s">
        <v>1130</v>
      </c>
      <c r="C21" s="2" t="s">
        <v>249</v>
      </c>
      <c r="E21">
        <v>16066.064</v>
      </c>
      <c r="G21">
        <v>1E-3</v>
      </c>
      <c r="H21">
        <v>1.2030000000000001</v>
      </c>
      <c r="I21" t="s">
        <v>3240</v>
      </c>
    </row>
    <row r="22" spans="1:9">
      <c r="A22" t="s">
        <v>3243</v>
      </c>
      <c r="B22" t="s">
        <v>1130</v>
      </c>
      <c r="C22" s="2" t="s">
        <v>250</v>
      </c>
      <c r="E22">
        <v>16146.138000000001</v>
      </c>
      <c r="G22">
        <v>1E-3</v>
      </c>
      <c r="H22">
        <v>0.79700000000000004</v>
      </c>
      <c r="I22" t="s">
        <v>3240</v>
      </c>
    </row>
    <row r="23" spans="1:9">
      <c r="A23" t="s">
        <v>3243</v>
      </c>
      <c r="B23" t="s">
        <v>1098</v>
      </c>
      <c r="C23" s="2" t="s">
        <v>248</v>
      </c>
      <c r="E23">
        <v>16435.906999999999</v>
      </c>
      <c r="G23">
        <v>1E-3</v>
      </c>
      <c r="H23">
        <v>0.01</v>
      </c>
      <c r="I23" t="s">
        <v>3240</v>
      </c>
    </row>
    <row r="24" spans="1:9">
      <c r="A24" t="s">
        <v>3243</v>
      </c>
      <c r="B24" t="s">
        <v>1098</v>
      </c>
      <c r="C24" s="2" t="s">
        <v>250</v>
      </c>
      <c r="E24">
        <v>16597.304</v>
      </c>
      <c r="G24">
        <v>1E-3</v>
      </c>
      <c r="H24">
        <v>1.22</v>
      </c>
      <c r="I24" t="s">
        <v>3240</v>
      </c>
    </row>
    <row r="25" spans="1:9">
      <c r="A25" t="s">
        <v>3243</v>
      </c>
      <c r="B25" t="s">
        <v>1098</v>
      </c>
      <c r="C25" s="2" t="s">
        <v>249</v>
      </c>
      <c r="E25">
        <v>16816.641</v>
      </c>
      <c r="G25">
        <v>1E-3</v>
      </c>
      <c r="H25">
        <v>1.38</v>
      </c>
      <c r="I25" t="s">
        <v>3240</v>
      </c>
    </row>
    <row r="26" spans="1:9">
      <c r="A26" t="s">
        <v>3243</v>
      </c>
      <c r="B26" t="s">
        <v>1098</v>
      </c>
      <c r="C26" s="2" t="s">
        <v>251</v>
      </c>
      <c r="E26">
        <v>17116.155999999999</v>
      </c>
      <c r="G26">
        <v>1E-3</v>
      </c>
      <c r="H26">
        <v>1.42</v>
      </c>
      <c r="I26" t="s">
        <v>3240</v>
      </c>
    </row>
    <row r="27" spans="1:9">
      <c r="A27" t="s">
        <v>3246</v>
      </c>
      <c r="B27" t="s">
        <v>1047</v>
      </c>
      <c r="C27" s="2" t="s">
        <v>252</v>
      </c>
      <c r="E27">
        <v>18499.314999999999</v>
      </c>
      <c r="G27">
        <v>1E-3</v>
      </c>
      <c r="H27">
        <v>1.1200000000000001</v>
      </c>
      <c r="I27" t="s">
        <v>3240</v>
      </c>
    </row>
    <row r="28" spans="1:9">
      <c r="A28" t="s">
        <v>3246</v>
      </c>
      <c r="B28" t="s">
        <v>1047</v>
      </c>
      <c r="C28" s="2" t="s">
        <v>251</v>
      </c>
      <c r="E28">
        <v>18512.401999999998</v>
      </c>
      <c r="G28">
        <v>1E-3</v>
      </c>
      <c r="H28">
        <v>0.9</v>
      </c>
      <c r="I28" t="s">
        <v>3240</v>
      </c>
    </row>
    <row r="29" spans="1:9">
      <c r="A29" t="s">
        <v>3243</v>
      </c>
      <c r="B29" t="s">
        <v>1143</v>
      </c>
      <c r="C29" s="2" t="s">
        <v>248</v>
      </c>
      <c r="E29">
        <v>18976.366000000002</v>
      </c>
      <c r="G29">
        <v>1E-3</v>
      </c>
      <c r="I29" t="s">
        <v>3240</v>
      </c>
    </row>
    <row r="30" spans="1:9">
      <c r="A30" t="s">
        <v>3243</v>
      </c>
      <c r="B30" t="s">
        <v>1143</v>
      </c>
      <c r="C30" s="2" t="s">
        <v>250</v>
      </c>
      <c r="E30">
        <v>19027.593000000001</v>
      </c>
      <c r="G30">
        <v>1E-3</v>
      </c>
      <c r="I30" t="s">
        <v>3240</v>
      </c>
    </row>
    <row r="31" spans="1:9">
      <c r="A31" t="s">
        <v>3243</v>
      </c>
      <c r="B31" t="s">
        <v>1143</v>
      </c>
      <c r="C31" s="2" t="s">
        <v>249</v>
      </c>
      <c r="E31">
        <v>19147.983</v>
      </c>
      <c r="G31">
        <v>1E-3</v>
      </c>
      <c r="H31">
        <v>1.49</v>
      </c>
      <c r="I31" t="s">
        <v>3240</v>
      </c>
    </row>
    <row r="32" spans="1:9">
      <c r="A32" t="s">
        <v>3244</v>
      </c>
      <c r="B32" t="s">
        <v>1050</v>
      </c>
      <c r="C32" s="2" t="s">
        <v>248</v>
      </c>
      <c r="E32">
        <v>19237.608</v>
      </c>
      <c r="G32">
        <v>1E-3</v>
      </c>
      <c r="H32" t="s">
        <v>3247</v>
      </c>
      <c r="I32" t="s">
        <v>3240</v>
      </c>
    </row>
    <row r="33" spans="1:9">
      <c r="A33" t="s">
        <v>3244</v>
      </c>
      <c r="B33" t="s">
        <v>1050</v>
      </c>
      <c r="C33" s="2" t="s">
        <v>250</v>
      </c>
      <c r="E33">
        <v>19406.146000000001</v>
      </c>
      <c r="G33">
        <v>1E-3</v>
      </c>
      <c r="H33" t="s">
        <v>3248</v>
      </c>
      <c r="I33" t="s">
        <v>3240</v>
      </c>
    </row>
    <row r="34" spans="1:9">
      <c r="A34" t="s">
        <v>3243</v>
      </c>
      <c r="B34" t="s">
        <v>1174</v>
      </c>
      <c r="C34" s="2" t="s">
        <v>249</v>
      </c>
      <c r="E34">
        <v>21528.579000000002</v>
      </c>
      <c r="G34">
        <v>1E-3</v>
      </c>
      <c r="H34">
        <v>0.85399999999999998</v>
      </c>
      <c r="I34" t="s">
        <v>3240</v>
      </c>
    </row>
    <row r="35" spans="1:9">
      <c r="A35" t="s">
        <v>3243</v>
      </c>
      <c r="B35" t="s">
        <v>1174</v>
      </c>
      <c r="C35" s="2" t="s">
        <v>251</v>
      </c>
      <c r="E35">
        <v>21915.432000000001</v>
      </c>
      <c r="G35">
        <v>1E-3</v>
      </c>
      <c r="H35">
        <v>1.1479999999999999</v>
      </c>
      <c r="I35" t="s">
        <v>3240</v>
      </c>
    </row>
    <row r="36" spans="1:9">
      <c r="A36" t="s">
        <v>3249</v>
      </c>
      <c r="B36" t="s">
        <v>206</v>
      </c>
      <c r="C36" s="2" t="s">
        <v>248</v>
      </c>
      <c r="E36">
        <v>23465.093000000001</v>
      </c>
      <c r="G36">
        <v>3.0000000000000001E-3</v>
      </c>
      <c r="I36" t="s">
        <v>3240</v>
      </c>
    </row>
    <row r="37" spans="1:9">
      <c r="A37" t="s">
        <v>3250</v>
      </c>
      <c r="B37" t="s">
        <v>2404</v>
      </c>
      <c r="C37" s="2" t="s">
        <v>250</v>
      </c>
      <c r="E37">
        <v>24131.25</v>
      </c>
      <c r="G37">
        <v>2E-3</v>
      </c>
      <c r="H37">
        <v>0.82299999999999995</v>
      </c>
      <c r="I37" t="s">
        <v>3240</v>
      </c>
    </row>
    <row r="38" spans="1:9">
      <c r="A38" t="s">
        <v>3250</v>
      </c>
      <c r="B38" t="s">
        <v>2404</v>
      </c>
      <c r="C38" s="2" t="s">
        <v>249</v>
      </c>
      <c r="E38">
        <v>24746.573</v>
      </c>
      <c r="G38">
        <v>1E-3</v>
      </c>
      <c r="H38">
        <v>1.0880000000000001</v>
      </c>
      <c r="I38" t="s">
        <v>3240</v>
      </c>
    </row>
    <row r="39" spans="1:9">
      <c r="A39" t="s">
        <v>3243</v>
      </c>
      <c r="B39" t="s">
        <v>2649</v>
      </c>
      <c r="C39" s="2" t="s">
        <v>250</v>
      </c>
      <c r="E39">
        <v>24480.666000000001</v>
      </c>
      <c r="G39">
        <v>2E-3</v>
      </c>
      <c r="H39">
        <v>1.302</v>
      </c>
      <c r="I39" t="s">
        <v>3240</v>
      </c>
    </row>
    <row r="40" spans="1:9">
      <c r="A40" t="s">
        <v>3243</v>
      </c>
      <c r="B40" t="s">
        <v>2649</v>
      </c>
      <c r="C40" s="2" t="s">
        <v>248</v>
      </c>
      <c r="E40">
        <v>24698.85</v>
      </c>
      <c r="G40">
        <v>2E-3</v>
      </c>
      <c r="H40">
        <v>0.67400000000000004</v>
      </c>
      <c r="I40" t="s">
        <v>3240</v>
      </c>
    </row>
    <row r="41" spans="1:9">
      <c r="A41" t="s">
        <v>3250</v>
      </c>
      <c r="B41" t="s">
        <v>1249</v>
      </c>
      <c r="C41" s="2" t="s">
        <v>249</v>
      </c>
      <c r="E41">
        <v>24518.751</v>
      </c>
      <c r="G41">
        <v>1E-3</v>
      </c>
      <c r="H41">
        <v>0.96399999999999997</v>
      </c>
      <c r="I41" t="s">
        <v>3240</v>
      </c>
    </row>
    <row r="42" spans="1:9">
      <c r="A42" t="s">
        <v>3250</v>
      </c>
      <c r="B42" t="s">
        <v>1249</v>
      </c>
      <c r="C42" s="2" t="s">
        <v>251</v>
      </c>
      <c r="E42">
        <v>24899.632000000001</v>
      </c>
      <c r="G42">
        <v>2E-3</v>
      </c>
      <c r="H42">
        <v>1.147</v>
      </c>
      <c r="I42" t="s">
        <v>3240</v>
      </c>
    </row>
    <row r="43" spans="1:9">
      <c r="A43" t="s">
        <v>3250</v>
      </c>
      <c r="B43" t="s">
        <v>3251</v>
      </c>
      <c r="C43" s="2" t="s">
        <v>248</v>
      </c>
      <c r="E43">
        <v>27824.647000000001</v>
      </c>
      <c r="G43">
        <v>3.0000000000000001E-3</v>
      </c>
      <c r="H43">
        <v>0.66700000000000004</v>
      </c>
      <c r="I43" t="s">
        <v>3240</v>
      </c>
    </row>
    <row r="44" spans="1:9">
      <c r="A44" t="s">
        <v>3250</v>
      </c>
      <c r="B44" t="s">
        <v>3251</v>
      </c>
      <c r="C44" s="2" t="s">
        <v>250</v>
      </c>
      <c r="E44">
        <v>28139.645</v>
      </c>
      <c r="G44">
        <v>2E-3</v>
      </c>
      <c r="H44">
        <v>1.3240000000000001</v>
      </c>
      <c r="I44" t="s">
        <v>3240</v>
      </c>
    </row>
    <row r="45" spans="1:9">
      <c r="A45" t="s">
        <v>3252</v>
      </c>
      <c r="B45" t="s">
        <v>1115</v>
      </c>
      <c r="C45" s="2" t="s">
        <v>249</v>
      </c>
      <c r="E45">
        <v>28694.04</v>
      </c>
      <c r="G45">
        <v>2E-3</v>
      </c>
      <c r="H45">
        <v>0.56000000000000005</v>
      </c>
      <c r="I45" t="s">
        <v>3240</v>
      </c>
    </row>
    <row r="46" spans="1:9">
      <c r="A46" t="s">
        <v>3252</v>
      </c>
      <c r="B46" t="s">
        <v>1115</v>
      </c>
      <c r="C46" s="2" t="s">
        <v>251</v>
      </c>
      <c r="E46">
        <v>28988.786</v>
      </c>
      <c r="G46">
        <v>2E-3</v>
      </c>
      <c r="H46">
        <v>1</v>
      </c>
      <c r="I46" t="s">
        <v>3240</v>
      </c>
    </row>
    <row r="47" spans="1:9">
      <c r="A47" t="s">
        <v>3252</v>
      </c>
      <c r="B47" t="s">
        <v>1115</v>
      </c>
      <c r="C47" s="2" t="s">
        <v>252</v>
      </c>
      <c r="E47">
        <v>29364.111000000001</v>
      </c>
      <c r="G47">
        <v>4.0000000000000001E-3</v>
      </c>
      <c r="H47">
        <v>1.18</v>
      </c>
      <c r="I47" t="s">
        <v>3240</v>
      </c>
    </row>
    <row r="48" spans="1:9">
      <c r="A48" t="s">
        <v>3252</v>
      </c>
      <c r="B48" t="s">
        <v>1115</v>
      </c>
      <c r="C48" s="2" t="s">
        <v>1702</v>
      </c>
      <c r="E48">
        <v>29820.374</v>
      </c>
      <c r="G48">
        <v>1.2999999999999999E-2</v>
      </c>
      <c r="H48">
        <v>1.27</v>
      </c>
      <c r="I48" t="s">
        <v>3240</v>
      </c>
    </row>
    <row r="49" spans="1:9">
      <c r="A49" t="s">
        <v>3253</v>
      </c>
      <c r="B49" t="s">
        <v>1068</v>
      </c>
      <c r="C49" s="2" t="s">
        <v>250</v>
      </c>
      <c r="E49">
        <v>29271.978999999999</v>
      </c>
      <c r="G49">
        <v>2E-3</v>
      </c>
      <c r="I49" t="s">
        <v>3240</v>
      </c>
    </row>
    <row r="50" spans="1:9">
      <c r="A50" t="s">
        <v>3253</v>
      </c>
      <c r="B50" t="s">
        <v>1068</v>
      </c>
      <c r="C50" s="2" t="s">
        <v>249</v>
      </c>
      <c r="E50">
        <v>29420.384999999998</v>
      </c>
      <c r="G50">
        <v>2E-3</v>
      </c>
      <c r="I50" t="s">
        <v>3240</v>
      </c>
    </row>
    <row r="51" spans="1:9">
      <c r="A51" t="s">
        <v>3253</v>
      </c>
      <c r="B51" t="s">
        <v>1068</v>
      </c>
      <c r="C51" s="2" t="s">
        <v>251</v>
      </c>
      <c r="E51">
        <v>29613.725999999999</v>
      </c>
      <c r="G51">
        <v>1E-3</v>
      </c>
      <c r="I51" t="s">
        <v>3240</v>
      </c>
    </row>
    <row r="52" spans="1:9">
      <c r="A52" t="s">
        <v>3253</v>
      </c>
      <c r="B52" t="s">
        <v>1068</v>
      </c>
      <c r="C52" s="2" t="s">
        <v>252</v>
      </c>
      <c r="E52">
        <v>29842.639999999999</v>
      </c>
      <c r="G52">
        <v>2E-3</v>
      </c>
      <c r="I52" t="s">
        <v>3240</v>
      </c>
    </row>
    <row r="53" spans="1:9">
      <c r="A53" t="s">
        <v>3252</v>
      </c>
      <c r="B53" t="s">
        <v>1152</v>
      </c>
      <c r="C53" s="2" t="s">
        <v>250</v>
      </c>
      <c r="E53">
        <v>31508.440999999999</v>
      </c>
      <c r="G53">
        <v>5.0000000000000001E-3</v>
      </c>
      <c r="H53">
        <v>0.40200000000000002</v>
      </c>
      <c r="I53" t="s">
        <v>3240</v>
      </c>
    </row>
    <row r="54" spans="1:9">
      <c r="A54" t="s">
        <v>3252</v>
      </c>
      <c r="B54" t="s">
        <v>1152</v>
      </c>
      <c r="C54" s="2" t="s">
        <v>249</v>
      </c>
      <c r="E54">
        <v>31680.043000000001</v>
      </c>
      <c r="G54">
        <v>4.0000000000000001E-3</v>
      </c>
      <c r="H54">
        <v>1.0329999999999999</v>
      </c>
      <c r="I54" t="s">
        <v>3240</v>
      </c>
    </row>
    <row r="55" spans="1:9">
      <c r="A55" t="s">
        <v>3252</v>
      </c>
      <c r="B55" t="s">
        <v>1152</v>
      </c>
      <c r="C55" s="2" t="s">
        <v>251</v>
      </c>
      <c r="E55">
        <v>31909.164000000001</v>
      </c>
      <c r="G55">
        <v>5.0000000000000001E-3</v>
      </c>
      <c r="H55">
        <v>1.242</v>
      </c>
      <c r="I55" t="s">
        <v>3240</v>
      </c>
    </row>
    <row r="56" spans="1:9">
      <c r="A56" t="s">
        <v>3252</v>
      </c>
      <c r="B56" t="s">
        <v>1152</v>
      </c>
      <c r="C56" s="2" t="s">
        <v>252</v>
      </c>
      <c r="E56">
        <v>32188.075000000001</v>
      </c>
      <c r="G56">
        <v>4.0000000000000001E-3</v>
      </c>
      <c r="H56">
        <v>1.337</v>
      </c>
      <c r="I56" t="s">
        <v>3240</v>
      </c>
    </row>
    <row r="57" spans="1:9">
      <c r="A57" t="s">
        <v>3254</v>
      </c>
      <c r="B57" t="s">
        <v>3255</v>
      </c>
      <c r="C57" s="2" t="s">
        <v>248</v>
      </c>
      <c r="E57">
        <v>31671.539000000001</v>
      </c>
      <c r="G57">
        <v>3.0000000000000001E-3</v>
      </c>
      <c r="H57">
        <v>2.0299999999999998</v>
      </c>
      <c r="I57" t="s">
        <v>3240</v>
      </c>
    </row>
    <row r="58" spans="1:9">
      <c r="A58" t="s">
        <v>3253</v>
      </c>
      <c r="B58" t="s">
        <v>1060</v>
      </c>
      <c r="C58" s="2" t="s">
        <v>248</v>
      </c>
      <c r="E58">
        <v>31977.583999999999</v>
      </c>
      <c r="G58">
        <v>2E-3</v>
      </c>
      <c r="I58" t="s">
        <v>3240</v>
      </c>
    </row>
    <row r="59" spans="1:9">
      <c r="A59" t="s">
        <v>3253</v>
      </c>
      <c r="B59" t="s">
        <v>1060</v>
      </c>
      <c r="C59" s="2" t="s">
        <v>250</v>
      </c>
      <c r="E59">
        <v>32091.016</v>
      </c>
      <c r="G59">
        <v>3.0000000000000001E-3</v>
      </c>
      <c r="I59" t="s">
        <v>3240</v>
      </c>
    </row>
    <row r="60" spans="1:9">
      <c r="A60" t="s">
        <v>3253</v>
      </c>
      <c r="B60" t="s">
        <v>1060</v>
      </c>
      <c r="C60" s="2" t="s">
        <v>249</v>
      </c>
      <c r="E60">
        <v>32366.409</v>
      </c>
      <c r="G60">
        <v>3.0000000000000001E-3</v>
      </c>
      <c r="I60" t="s">
        <v>3240</v>
      </c>
    </row>
    <row r="61" spans="1:9">
      <c r="A61" t="s">
        <v>3256</v>
      </c>
      <c r="B61" t="s">
        <v>209</v>
      </c>
      <c r="C61" s="2" t="s">
        <v>250</v>
      </c>
      <c r="E61">
        <v>32431.764999999999</v>
      </c>
      <c r="G61">
        <v>3.0000000000000001E-3</v>
      </c>
      <c r="I61" t="s">
        <v>3240</v>
      </c>
    </row>
    <row r="62" spans="1:9">
      <c r="A62" t="s">
        <v>3256</v>
      </c>
      <c r="B62" t="s">
        <v>209</v>
      </c>
      <c r="C62" s="2" t="s">
        <v>249</v>
      </c>
      <c r="E62">
        <v>32821.391000000003</v>
      </c>
      <c r="G62">
        <v>2E-3</v>
      </c>
      <c r="I62" t="s">
        <v>3240</v>
      </c>
    </row>
    <row r="63" spans="1:9">
      <c r="A63" t="s">
        <v>3257</v>
      </c>
      <c r="B63" t="s">
        <v>1345</v>
      </c>
      <c r="C63" s="2" t="s">
        <v>248</v>
      </c>
      <c r="E63">
        <v>33148.432000000001</v>
      </c>
      <c r="G63">
        <v>2E-3</v>
      </c>
      <c r="H63">
        <v>0.01</v>
      </c>
      <c r="I63" t="s">
        <v>3240</v>
      </c>
    </row>
    <row r="64" spans="1:9">
      <c r="A64" t="s">
        <v>3257</v>
      </c>
      <c r="B64" t="s">
        <v>1345</v>
      </c>
      <c r="C64" s="2" t="s">
        <v>250</v>
      </c>
      <c r="E64">
        <v>33238.010999999999</v>
      </c>
      <c r="G64">
        <v>1E-3</v>
      </c>
      <c r="H64">
        <v>1.28</v>
      </c>
      <c r="I64" t="s">
        <v>3240</v>
      </c>
    </row>
    <row r="65" spans="1:9">
      <c r="A65" t="s">
        <v>3257</v>
      </c>
      <c r="B65" t="s">
        <v>1345</v>
      </c>
      <c r="C65" s="2" t="s">
        <v>249</v>
      </c>
      <c r="E65">
        <v>33411.565999999999</v>
      </c>
      <c r="G65">
        <v>1E-3</v>
      </c>
      <c r="H65">
        <v>1.35</v>
      </c>
      <c r="I65" t="s">
        <v>3240</v>
      </c>
    </row>
    <row r="66" spans="1:9">
      <c r="A66" t="s">
        <v>3257</v>
      </c>
      <c r="B66" t="s">
        <v>1345</v>
      </c>
      <c r="C66" s="2" t="s">
        <v>251</v>
      </c>
      <c r="E66">
        <v>33752.743000000002</v>
      </c>
      <c r="G66">
        <v>1E-3</v>
      </c>
      <c r="H66">
        <v>1.42</v>
      </c>
      <c r="I66" t="s">
        <v>3240</v>
      </c>
    </row>
    <row r="67" spans="1:9">
      <c r="A67" t="s">
        <v>3252</v>
      </c>
      <c r="B67" t="s">
        <v>1161</v>
      </c>
      <c r="C67" s="2" t="s">
        <v>248</v>
      </c>
      <c r="E67">
        <v>33215.444000000003</v>
      </c>
      <c r="G67">
        <v>4.0000000000000001E-3</v>
      </c>
      <c r="H67">
        <v>-0.04</v>
      </c>
      <c r="I67" t="s">
        <v>3240</v>
      </c>
    </row>
    <row r="68" spans="1:9">
      <c r="A68" t="s">
        <v>3252</v>
      </c>
      <c r="B68" t="s">
        <v>1161</v>
      </c>
      <c r="C68" s="2" t="s">
        <v>250</v>
      </c>
      <c r="E68">
        <v>33265.298000000003</v>
      </c>
      <c r="G68">
        <v>1E-3</v>
      </c>
      <c r="H68">
        <v>1.2</v>
      </c>
      <c r="I68" t="s">
        <v>3240</v>
      </c>
    </row>
    <row r="69" spans="1:9">
      <c r="A69" t="s">
        <v>3252</v>
      </c>
      <c r="B69" t="s">
        <v>1161</v>
      </c>
      <c r="C69" s="2" t="s">
        <v>249</v>
      </c>
      <c r="E69">
        <v>33357.608</v>
      </c>
      <c r="G69">
        <v>1E-3</v>
      </c>
      <c r="H69">
        <v>1.38</v>
      </c>
      <c r="I69" t="s">
        <v>3240</v>
      </c>
    </row>
    <row r="70" spans="1:9">
      <c r="A70" t="s">
        <v>3252</v>
      </c>
      <c r="B70" t="s">
        <v>1161</v>
      </c>
      <c r="C70" s="2" t="s">
        <v>251</v>
      </c>
      <c r="E70">
        <v>33614.445</v>
      </c>
      <c r="G70">
        <v>2E-3</v>
      </c>
      <c r="H70">
        <v>1.4</v>
      </c>
      <c r="I70" t="s">
        <v>3240</v>
      </c>
    </row>
    <row r="71" spans="1:9">
      <c r="A71" t="s">
        <v>3252</v>
      </c>
      <c r="B71" t="s">
        <v>1158</v>
      </c>
      <c r="C71" s="2" t="s">
        <v>251</v>
      </c>
      <c r="E71">
        <v>33432.091999999997</v>
      </c>
      <c r="G71">
        <v>1E-3</v>
      </c>
      <c r="H71">
        <v>0.91</v>
      </c>
      <c r="I71" t="s">
        <v>3240</v>
      </c>
    </row>
    <row r="72" spans="1:9">
      <c r="A72" t="s">
        <v>3252</v>
      </c>
      <c r="B72" t="s">
        <v>1158</v>
      </c>
      <c r="C72" s="2" t="s">
        <v>252</v>
      </c>
      <c r="E72">
        <v>33788.955999999998</v>
      </c>
      <c r="G72">
        <v>2E-3</v>
      </c>
      <c r="H72">
        <v>1.1499999999999999</v>
      </c>
      <c r="I72" t="s">
        <v>3240</v>
      </c>
    </row>
    <row r="73" spans="1:9">
      <c r="A73" t="s">
        <v>3252</v>
      </c>
      <c r="B73" t="s">
        <v>1296</v>
      </c>
      <c r="C73" s="2" t="s">
        <v>249</v>
      </c>
      <c r="E73">
        <v>33608.311999999998</v>
      </c>
      <c r="G73">
        <v>1E-3</v>
      </c>
      <c r="H73">
        <v>0.98499999999999999</v>
      </c>
      <c r="I73" t="s">
        <v>3240</v>
      </c>
    </row>
    <row r="74" spans="1:9">
      <c r="A74" t="s">
        <v>3252</v>
      </c>
      <c r="B74" t="s">
        <v>1296</v>
      </c>
      <c r="C74" s="2" t="s">
        <v>251</v>
      </c>
      <c r="E74">
        <v>34029.802000000003</v>
      </c>
      <c r="G74">
        <v>2E-3</v>
      </c>
      <c r="H74">
        <v>1.17</v>
      </c>
      <c r="I74" t="s">
        <v>3240</v>
      </c>
    </row>
    <row r="75" spans="1:9">
      <c r="A75" t="s">
        <v>3253</v>
      </c>
      <c r="B75" t="s">
        <v>595</v>
      </c>
      <c r="C75" s="2" t="s">
        <v>248</v>
      </c>
      <c r="E75">
        <v>33613.25</v>
      </c>
      <c r="G75">
        <v>2E-3</v>
      </c>
      <c r="H75">
        <v>0.93</v>
      </c>
      <c r="I75" t="s">
        <v>3240</v>
      </c>
    </row>
    <row r="76" spans="1:9">
      <c r="A76" t="s">
        <v>3253</v>
      </c>
      <c r="B76" t="s">
        <v>595</v>
      </c>
      <c r="C76" s="2" t="s">
        <v>250</v>
      </c>
      <c r="E76">
        <v>33842.417000000001</v>
      </c>
      <c r="G76">
        <v>1E-3</v>
      </c>
      <c r="H76">
        <v>1.36</v>
      </c>
      <c r="I76" t="s">
        <v>3240</v>
      </c>
    </row>
    <row r="77" spans="1:9">
      <c r="A77" t="s">
        <v>3252</v>
      </c>
      <c r="B77" t="s">
        <v>1293</v>
      </c>
      <c r="C77" s="2" t="s">
        <v>250</v>
      </c>
      <c r="E77">
        <v>33906.760999999999</v>
      </c>
      <c r="G77">
        <v>1E-3</v>
      </c>
      <c r="H77">
        <v>0.82599999999999996</v>
      </c>
      <c r="I77" t="s">
        <v>3240</v>
      </c>
    </row>
    <row r="78" spans="1:9">
      <c r="A78" t="s">
        <v>3252</v>
      </c>
      <c r="B78" t="s">
        <v>1293</v>
      </c>
      <c r="C78" s="2" t="s">
        <v>249</v>
      </c>
      <c r="E78">
        <v>34247.726999999999</v>
      </c>
      <c r="G78">
        <v>1E-3</v>
      </c>
      <c r="H78">
        <v>1.1859999999999999</v>
      </c>
      <c r="I78" t="s">
        <v>3240</v>
      </c>
    </row>
    <row r="79" spans="1:9">
      <c r="A79" t="s">
        <v>3258</v>
      </c>
      <c r="B79" t="s">
        <v>2231</v>
      </c>
      <c r="C79" s="2" t="s">
        <v>248</v>
      </c>
      <c r="E79">
        <v>33911.692000000003</v>
      </c>
      <c r="G79">
        <v>2E-3</v>
      </c>
      <c r="H79">
        <v>2.58</v>
      </c>
      <c r="I79" t="s">
        <v>3240</v>
      </c>
    </row>
    <row r="80" spans="1:9">
      <c r="A80" t="s">
        <v>3258</v>
      </c>
      <c r="B80" t="s">
        <v>2231</v>
      </c>
      <c r="C80" s="2" t="s">
        <v>250</v>
      </c>
      <c r="E80">
        <v>34155.911999999997</v>
      </c>
      <c r="G80">
        <v>1E-3</v>
      </c>
      <c r="H80">
        <v>1.47</v>
      </c>
      <c r="I80" t="s">
        <v>3240</v>
      </c>
    </row>
    <row r="81" spans="1:9">
      <c r="A81" t="s">
        <v>3258</v>
      </c>
      <c r="B81" t="s">
        <v>2231</v>
      </c>
      <c r="C81" s="2" t="s">
        <v>249</v>
      </c>
      <c r="E81">
        <v>34521.220999999998</v>
      </c>
      <c r="G81">
        <v>1E-3</v>
      </c>
      <c r="H81">
        <v>1.46</v>
      </c>
      <c r="I81" t="s">
        <v>3240</v>
      </c>
    </row>
    <row r="82" spans="1:9">
      <c r="A82" t="s">
        <v>3259</v>
      </c>
      <c r="B82" t="s">
        <v>2695</v>
      </c>
      <c r="C82" s="2" t="s">
        <v>250</v>
      </c>
      <c r="E82">
        <v>34231.544000000002</v>
      </c>
      <c r="G82">
        <v>1E-3</v>
      </c>
      <c r="H82" t="s">
        <v>3260</v>
      </c>
      <c r="I82" t="s">
        <v>3240</v>
      </c>
    </row>
    <row r="83" spans="1:9">
      <c r="A83" t="s">
        <v>3259</v>
      </c>
      <c r="B83" t="s">
        <v>2695</v>
      </c>
      <c r="C83" s="2" t="s">
        <v>249</v>
      </c>
      <c r="E83">
        <v>34257.447</v>
      </c>
      <c r="G83">
        <v>1E-3</v>
      </c>
      <c r="H83">
        <v>1.34</v>
      </c>
      <c r="I83" t="s">
        <v>3240</v>
      </c>
    </row>
    <row r="84" spans="1:9">
      <c r="A84" t="s">
        <v>3261</v>
      </c>
      <c r="B84" t="s">
        <v>2623</v>
      </c>
      <c r="C84" s="2" t="s">
        <v>248</v>
      </c>
      <c r="E84">
        <v>34438.228000000003</v>
      </c>
      <c r="G84">
        <v>2E-3</v>
      </c>
      <c r="H84">
        <v>1.7</v>
      </c>
      <c r="I84" t="s">
        <v>3240</v>
      </c>
    </row>
    <row r="85" spans="1:9">
      <c r="A85" t="s">
        <v>3261</v>
      </c>
      <c r="B85" t="s">
        <v>1221</v>
      </c>
      <c r="C85" s="2" t="s">
        <v>248</v>
      </c>
      <c r="E85">
        <v>35681.338000000003</v>
      </c>
      <c r="G85">
        <v>5.0000000000000001E-3</v>
      </c>
      <c r="I85" t="s">
        <v>3240</v>
      </c>
    </row>
    <row r="86" spans="1:9">
      <c r="A86" t="s">
        <v>3261</v>
      </c>
      <c r="B86" t="s">
        <v>1221</v>
      </c>
      <c r="C86" s="2" t="s">
        <v>250</v>
      </c>
      <c r="E86">
        <v>35816.406999999999</v>
      </c>
      <c r="G86">
        <v>3.0000000000000001E-3</v>
      </c>
      <c r="I86" t="s">
        <v>3240</v>
      </c>
    </row>
    <row r="87" spans="1:9">
      <c r="A87" t="s">
        <v>3261</v>
      </c>
      <c r="B87" t="s">
        <v>1221</v>
      </c>
      <c r="C87" s="2" t="s">
        <v>249</v>
      </c>
      <c r="E87">
        <v>36060.841999999997</v>
      </c>
      <c r="G87">
        <v>3.0000000000000001E-3</v>
      </c>
      <c r="H87">
        <v>1.34</v>
      </c>
      <c r="I87" t="s">
        <v>3240</v>
      </c>
    </row>
    <row r="88" spans="1:9">
      <c r="A88" t="s">
        <v>3261</v>
      </c>
      <c r="B88" t="s">
        <v>1221</v>
      </c>
      <c r="C88" s="2" t="s">
        <v>251</v>
      </c>
      <c r="E88">
        <v>36361.144999999997</v>
      </c>
      <c r="G88">
        <v>3.0000000000000001E-3</v>
      </c>
      <c r="H88">
        <v>1.38</v>
      </c>
      <c r="I88" t="s">
        <v>3240</v>
      </c>
    </row>
    <row r="89" spans="1:9">
      <c r="A89" t="s">
        <v>3261</v>
      </c>
      <c r="B89" t="s">
        <v>2256</v>
      </c>
      <c r="C89" s="2" t="s">
        <v>250</v>
      </c>
      <c r="E89">
        <v>36135.567000000003</v>
      </c>
      <c r="G89">
        <v>2E-3</v>
      </c>
      <c r="H89" t="s">
        <v>3262</v>
      </c>
      <c r="I89" t="s">
        <v>3240</v>
      </c>
    </row>
    <row r="90" spans="1:9">
      <c r="A90" t="s">
        <v>3257</v>
      </c>
      <c r="B90" t="s">
        <v>3263</v>
      </c>
      <c r="C90" s="2" t="s">
        <v>250</v>
      </c>
      <c r="E90">
        <v>36420.610999999997</v>
      </c>
      <c r="G90">
        <v>2E-3</v>
      </c>
      <c r="H90">
        <v>0.9</v>
      </c>
      <c r="I90" t="s">
        <v>3240</v>
      </c>
    </row>
    <row r="91" spans="1:9">
      <c r="A91" t="s">
        <v>3257</v>
      </c>
      <c r="B91" t="s">
        <v>3263</v>
      </c>
      <c r="C91" s="2" t="s">
        <v>249</v>
      </c>
      <c r="E91">
        <v>36431.165000000001</v>
      </c>
      <c r="G91">
        <v>1E-3</v>
      </c>
      <c r="H91">
        <v>1.21</v>
      </c>
      <c r="I91" t="s">
        <v>3240</v>
      </c>
    </row>
    <row r="92" spans="1:9">
      <c r="A92" t="s">
        <v>3264</v>
      </c>
      <c r="B92" t="s">
        <v>1329</v>
      </c>
      <c r="C92" s="2" t="s">
        <v>250</v>
      </c>
      <c r="E92">
        <v>36452.294999999998</v>
      </c>
      <c r="G92">
        <v>2E-3</v>
      </c>
      <c r="H92">
        <v>0.86</v>
      </c>
      <c r="I92" t="s">
        <v>3240</v>
      </c>
    </row>
    <row r="93" spans="1:9">
      <c r="A93" t="s">
        <v>3264</v>
      </c>
      <c r="B93" t="s">
        <v>1329</v>
      </c>
      <c r="C93" s="2" t="s">
        <v>249</v>
      </c>
      <c r="E93">
        <v>36750.620999999999</v>
      </c>
      <c r="G93">
        <v>2E-3</v>
      </c>
      <c r="I93" t="s">
        <v>3240</v>
      </c>
    </row>
    <row r="94" spans="1:9">
      <c r="C94" s="2" t="s">
        <v>249</v>
      </c>
      <c r="E94">
        <v>36618.5</v>
      </c>
      <c r="H94">
        <v>1.32</v>
      </c>
      <c r="I94" t="s">
        <v>3265</v>
      </c>
    </row>
    <row r="95" spans="1:9">
      <c r="A95" t="s">
        <v>3266</v>
      </c>
      <c r="B95" t="s">
        <v>3263</v>
      </c>
      <c r="C95" s="2" t="s">
        <v>250</v>
      </c>
      <c r="E95">
        <v>36860.385000000002</v>
      </c>
      <c r="G95">
        <v>4.0000000000000001E-3</v>
      </c>
      <c r="I95" t="s">
        <v>3240</v>
      </c>
    </row>
    <row r="96" spans="1:9">
      <c r="A96" t="s">
        <v>3266</v>
      </c>
      <c r="B96" t="s">
        <v>3263</v>
      </c>
      <c r="C96" s="2" t="s">
        <v>249</v>
      </c>
      <c r="E96">
        <v>37074.19</v>
      </c>
      <c r="G96">
        <v>2E-3</v>
      </c>
      <c r="I96" t="s">
        <v>3240</v>
      </c>
    </row>
    <row r="97" spans="1:9">
      <c r="A97" t="s">
        <v>3261</v>
      </c>
      <c r="B97" t="s">
        <v>1184</v>
      </c>
      <c r="C97" s="2" t="s">
        <v>248</v>
      </c>
      <c r="E97">
        <v>37039.285000000003</v>
      </c>
      <c r="G97">
        <v>1.2999999999999999E-2</v>
      </c>
      <c r="H97">
        <v>2.2799999999999998</v>
      </c>
      <c r="I97" t="s">
        <v>3240</v>
      </c>
    </row>
    <row r="98" spans="1:9">
      <c r="A98" t="s">
        <v>3261</v>
      </c>
      <c r="B98" t="s">
        <v>1184</v>
      </c>
      <c r="C98" s="2" t="s">
        <v>250</v>
      </c>
      <c r="E98">
        <v>37148.377</v>
      </c>
      <c r="G98">
        <v>3.0000000000000001E-3</v>
      </c>
      <c r="H98">
        <v>1.58</v>
      </c>
      <c r="I98" t="s">
        <v>3240</v>
      </c>
    </row>
    <row r="99" spans="1:9">
      <c r="A99" t="s">
        <v>3261</v>
      </c>
      <c r="B99" t="s">
        <v>1184</v>
      </c>
      <c r="C99" s="2" t="s">
        <v>249</v>
      </c>
      <c r="E99">
        <v>37475.921999999999</v>
      </c>
      <c r="G99">
        <v>4.0000000000000001E-3</v>
      </c>
      <c r="H99">
        <v>1.45</v>
      </c>
      <c r="I99" t="s">
        <v>3240</v>
      </c>
    </row>
    <row r="100" spans="1:9">
      <c r="A100" t="s">
        <v>3267</v>
      </c>
      <c r="B100" t="s">
        <v>211</v>
      </c>
      <c r="C100" s="2" t="s">
        <v>248</v>
      </c>
      <c r="E100">
        <v>37105.722999999998</v>
      </c>
      <c r="G100">
        <v>5.0000000000000001E-3</v>
      </c>
      <c r="I100" t="s">
        <v>3240</v>
      </c>
    </row>
    <row r="101" spans="1:9">
      <c r="A101" t="s">
        <v>3267</v>
      </c>
      <c r="B101" t="s">
        <v>211</v>
      </c>
      <c r="C101" s="2" t="s">
        <v>250</v>
      </c>
      <c r="E101">
        <v>37283.885999999999</v>
      </c>
      <c r="G101">
        <v>2E-3</v>
      </c>
      <c r="I101" t="s">
        <v>3240</v>
      </c>
    </row>
    <row r="102" spans="1:9">
      <c r="A102" t="s">
        <v>3264</v>
      </c>
      <c r="B102" t="s">
        <v>1403</v>
      </c>
      <c r="C102" s="2" t="s">
        <v>250</v>
      </c>
      <c r="E102">
        <v>37243.781999999999</v>
      </c>
      <c r="G102">
        <v>3.0000000000000001E-3</v>
      </c>
      <c r="H102">
        <v>1.32</v>
      </c>
      <c r="I102" t="s">
        <v>3240</v>
      </c>
    </row>
    <row r="103" spans="1:9">
      <c r="A103" t="s">
        <v>3264</v>
      </c>
      <c r="B103" t="s">
        <v>1324</v>
      </c>
      <c r="C103" s="2" t="s">
        <v>249</v>
      </c>
      <c r="E103">
        <v>37279.182999999997</v>
      </c>
      <c r="G103">
        <v>8.0000000000000002E-3</v>
      </c>
      <c r="I103" t="s">
        <v>3240</v>
      </c>
    </row>
    <row r="104" spans="1:9">
      <c r="A104" t="s">
        <v>3264</v>
      </c>
      <c r="B104" t="s">
        <v>1324</v>
      </c>
      <c r="C104" s="2" t="s">
        <v>251</v>
      </c>
      <c r="E104">
        <v>37619.828999999998</v>
      </c>
      <c r="G104">
        <v>2E-3</v>
      </c>
      <c r="H104">
        <v>1.1399999999999999</v>
      </c>
      <c r="I104" t="s">
        <v>3240</v>
      </c>
    </row>
    <row r="105" spans="1:9">
      <c r="C105" s="2" t="s">
        <v>249</v>
      </c>
      <c r="E105">
        <v>37412.9</v>
      </c>
      <c r="H105">
        <v>0.86</v>
      </c>
      <c r="I105" t="s">
        <v>3265</v>
      </c>
    </row>
    <row r="106" spans="1:9">
      <c r="A106" t="s">
        <v>3268</v>
      </c>
      <c r="B106" t="s">
        <v>209</v>
      </c>
      <c r="C106" s="2" t="s">
        <v>249</v>
      </c>
      <c r="E106">
        <v>37524.440999999999</v>
      </c>
      <c r="G106">
        <v>8.0000000000000002E-3</v>
      </c>
      <c r="I106" t="s">
        <v>3240</v>
      </c>
    </row>
    <row r="107" spans="1:9">
      <c r="A107" t="s">
        <v>3268</v>
      </c>
      <c r="B107" t="s">
        <v>209</v>
      </c>
      <c r="C107" s="2" t="s">
        <v>250</v>
      </c>
      <c r="E107">
        <v>37549.521999999997</v>
      </c>
      <c r="G107">
        <v>5.0000000000000001E-3</v>
      </c>
      <c r="I107" t="s">
        <v>3240</v>
      </c>
    </row>
    <row r="108" spans="1:9">
      <c r="A108" t="s">
        <v>3269</v>
      </c>
      <c r="B108" t="s">
        <v>1252</v>
      </c>
      <c r="C108" s="2" t="s">
        <v>252</v>
      </c>
      <c r="E108">
        <v>37588.148000000001</v>
      </c>
      <c r="G108">
        <v>4.0000000000000001E-3</v>
      </c>
      <c r="H108">
        <v>0.91</v>
      </c>
      <c r="I108" t="s">
        <v>3240</v>
      </c>
    </row>
    <row r="109" spans="1:9">
      <c r="A109" t="s">
        <v>3269</v>
      </c>
      <c r="B109" t="s">
        <v>1252</v>
      </c>
      <c r="C109" s="2" t="s">
        <v>1702</v>
      </c>
      <c r="E109">
        <v>37967.332000000002</v>
      </c>
      <c r="G109">
        <v>4.0000000000000001E-3</v>
      </c>
      <c r="H109">
        <v>1.1100000000000001</v>
      </c>
      <c r="I109" t="s">
        <v>3240</v>
      </c>
    </row>
    <row r="110" spans="1:9">
      <c r="A110" t="s">
        <v>3253</v>
      </c>
      <c r="B110" t="s">
        <v>577</v>
      </c>
      <c r="C110" s="2" t="s">
        <v>249</v>
      </c>
      <c r="E110">
        <v>38156.627</v>
      </c>
      <c r="G110">
        <v>3.0000000000000001E-3</v>
      </c>
      <c r="I110" t="s">
        <v>3240</v>
      </c>
    </row>
    <row r="111" spans="1:9">
      <c r="A111" t="s">
        <v>3253</v>
      </c>
      <c r="B111" t="s">
        <v>577</v>
      </c>
      <c r="C111" s="2" t="s">
        <v>251</v>
      </c>
      <c r="E111">
        <v>38411.771000000001</v>
      </c>
      <c r="G111">
        <v>2E-3</v>
      </c>
      <c r="I111" t="s">
        <v>3240</v>
      </c>
    </row>
    <row r="112" spans="1:9">
      <c r="A112" t="s">
        <v>3270</v>
      </c>
      <c r="B112" t="s">
        <v>2285</v>
      </c>
      <c r="C112" s="2" t="s">
        <v>248</v>
      </c>
      <c r="E112">
        <v>38469.953999999998</v>
      </c>
      <c r="G112">
        <v>7.0000000000000001E-3</v>
      </c>
      <c r="I112" t="s">
        <v>3240</v>
      </c>
    </row>
    <row r="113" spans="1:9">
      <c r="A113" t="s">
        <v>3270</v>
      </c>
      <c r="B113" t="s">
        <v>2285</v>
      </c>
      <c r="C113" s="2" t="s">
        <v>250</v>
      </c>
      <c r="E113">
        <v>38543.684999999998</v>
      </c>
      <c r="G113">
        <v>2E-3</v>
      </c>
      <c r="H113">
        <v>1.22</v>
      </c>
      <c r="I113" t="s">
        <v>3240</v>
      </c>
    </row>
    <row r="114" spans="1:9">
      <c r="A114" t="s">
        <v>3270</v>
      </c>
      <c r="B114" t="s">
        <v>2285</v>
      </c>
      <c r="C114" s="2" t="s">
        <v>249</v>
      </c>
      <c r="E114">
        <v>38675.423999999999</v>
      </c>
      <c r="G114">
        <v>2E-3</v>
      </c>
      <c r="H114">
        <v>1.08</v>
      </c>
      <c r="I114" t="s">
        <v>3240</v>
      </c>
    </row>
    <row r="115" spans="1:9">
      <c r="A115" t="s">
        <v>3270</v>
      </c>
      <c r="B115" t="s">
        <v>2285</v>
      </c>
      <c r="C115" s="2" t="s">
        <v>251</v>
      </c>
      <c r="E115">
        <v>38865.618000000002</v>
      </c>
      <c r="G115">
        <v>1E-3</v>
      </c>
      <c r="H115">
        <v>1.34</v>
      </c>
      <c r="I115" t="s">
        <v>3240</v>
      </c>
    </row>
    <row r="116" spans="1:9">
      <c r="A116" t="s">
        <v>3271</v>
      </c>
      <c r="B116" t="s">
        <v>216</v>
      </c>
      <c r="C116" s="2" t="s">
        <v>248</v>
      </c>
      <c r="E116">
        <v>38473.277000000002</v>
      </c>
      <c r="G116">
        <v>4.0000000000000001E-3</v>
      </c>
      <c r="I116" t="s">
        <v>3240</v>
      </c>
    </row>
    <row r="117" spans="1:9">
      <c r="A117" t="s">
        <v>3271</v>
      </c>
      <c r="B117" t="s">
        <v>216</v>
      </c>
      <c r="C117" s="2" t="s">
        <v>250</v>
      </c>
      <c r="E117">
        <v>38627.008999999998</v>
      </c>
      <c r="G117">
        <v>3.0000000000000001E-3</v>
      </c>
      <c r="I117" t="s">
        <v>3240</v>
      </c>
    </row>
    <row r="118" spans="1:9">
      <c r="A118" t="s">
        <v>3271</v>
      </c>
      <c r="B118" t="s">
        <v>216</v>
      </c>
      <c r="C118" s="2" t="s">
        <v>249</v>
      </c>
      <c r="E118">
        <v>38798.053999999996</v>
      </c>
      <c r="G118">
        <v>3.0000000000000001E-3</v>
      </c>
      <c r="I118" t="s">
        <v>3240</v>
      </c>
    </row>
    <row r="119" spans="1:9">
      <c r="A119" t="s">
        <v>3271</v>
      </c>
      <c r="B119" t="s">
        <v>216</v>
      </c>
      <c r="C119" s="2" t="s">
        <v>251</v>
      </c>
      <c r="E119">
        <v>39167.224000000002</v>
      </c>
      <c r="G119">
        <v>5.0000000000000001E-3</v>
      </c>
      <c r="I119" t="s">
        <v>3240</v>
      </c>
    </row>
    <row r="120" spans="1:9">
      <c r="A120" t="s">
        <v>3269</v>
      </c>
      <c r="B120" t="s">
        <v>1243</v>
      </c>
      <c r="C120" s="2" t="s">
        <v>251</v>
      </c>
      <c r="E120">
        <v>38479.017</v>
      </c>
      <c r="G120">
        <v>2E-3</v>
      </c>
      <c r="H120">
        <v>0.89</v>
      </c>
      <c r="I120" t="s">
        <v>3240</v>
      </c>
    </row>
    <row r="121" spans="1:9">
      <c r="A121" t="s">
        <v>3269</v>
      </c>
      <c r="B121" t="s">
        <v>1243</v>
      </c>
      <c r="C121" s="2" t="s">
        <v>252</v>
      </c>
      <c r="E121">
        <v>38597.023999999998</v>
      </c>
      <c r="G121">
        <v>3.0000000000000001E-3</v>
      </c>
      <c r="H121">
        <v>1.1100000000000001</v>
      </c>
      <c r="I121" t="s">
        <v>3240</v>
      </c>
    </row>
    <row r="122" spans="1:9">
      <c r="A122" t="s">
        <v>3270</v>
      </c>
      <c r="B122" t="s">
        <v>2396</v>
      </c>
      <c r="C122" s="2" t="s">
        <v>249</v>
      </c>
      <c r="E122">
        <v>38635.481</v>
      </c>
      <c r="G122">
        <v>3.0000000000000001E-3</v>
      </c>
      <c r="H122">
        <v>0.73</v>
      </c>
      <c r="I122" t="s">
        <v>3240</v>
      </c>
    </row>
    <row r="123" spans="1:9">
      <c r="A123" t="s">
        <v>3270</v>
      </c>
      <c r="B123" t="s">
        <v>2396</v>
      </c>
      <c r="C123" s="2" t="s">
        <v>251</v>
      </c>
      <c r="E123">
        <v>38761.955999999998</v>
      </c>
      <c r="G123">
        <v>3.0000000000000001E-3</v>
      </c>
      <c r="H123">
        <v>1.04</v>
      </c>
      <c r="I123" t="s">
        <v>3240</v>
      </c>
    </row>
    <row r="124" spans="1:9">
      <c r="A124" t="s">
        <v>3270</v>
      </c>
      <c r="B124" t="s">
        <v>2396</v>
      </c>
      <c r="C124" s="2" t="s">
        <v>252</v>
      </c>
      <c r="E124">
        <v>38949.421000000002</v>
      </c>
      <c r="G124">
        <v>4.0000000000000001E-3</v>
      </c>
      <c r="H124">
        <v>1.1599999999999999</v>
      </c>
      <c r="I124" t="s">
        <v>3240</v>
      </c>
    </row>
    <row r="125" spans="1:9">
      <c r="A125" t="s">
        <v>3270</v>
      </c>
      <c r="B125" t="s">
        <v>2396</v>
      </c>
      <c r="C125" s="2" t="s">
        <v>1702</v>
      </c>
      <c r="E125">
        <v>39222.860999999997</v>
      </c>
      <c r="G125">
        <v>2.7E-2</v>
      </c>
      <c r="H125">
        <v>1.3</v>
      </c>
      <c r="I125" t="s">
        <v>3240</v>
      </c>
    </row>
    <row r="126" spans="1:9">
      <c r="A126" t="s">
        <v>3271</v>
      </c>
      <c r="B126" t="s">
        <v>214</v>
      </c>
      <c r="C126" s="2" t="s">
        <v>249</v>
      </c>
      <c r="E126">
        <v>38699.599000000002</v>
      </c>
      <c r="G126">
        <v>4.0000000000000001E-3</v>
      </c>
      <c r="I126" t="s">
        <v>3240</v>
      </c>
    </row>
    <row r="127" spans="1:9">
      <c r="A127" t="s">
        <v>3271</v>
      </c>
      <c r="B127" t="s">
        <v>214</v>
      </c>
      <c r="C127" s="2" t="s">
        <v>251</v>
      </c>
      <c r="E127">
        <v>38795.241000000002</v>
      </c>
      <c r="G127">
        <v>4.0000000000000001E-3</v>
      </c>
      <c r="I127" t="s">
        <v>3240</v>
      </c>
    </row>
    <row r="128" spans="1:9">
      <c r="A128" t="s">
        <v>3271</v>
      </c>
      <c r="B128" t="s">
        <v>214</v>
      </c>
      <c r="C128" s="2" t="s">
        <v>252</v>
      </c>
      <c r="E128">
        <v>39206.716999999997</v>
      </c>
      <c r="G128">
        <v>3.0000000000000001E-3</v>
      </c>
      <c r="I128" t="s">
        <v>3240</v>
      </c>
    </row>
    <row r="129" spans="1:9">
      <c r="A129" t="s">
        <v>3271</v>
      </c>
      <c r="B129" t="s">
        <v>219</v>
      </c>
      <c r="C129" s="2" t="s">
        <v>249</v>
      </c>
      <c r="E129">
        <v>38888.591999999997</v>
      </c>
      <c r="G129">
        <v>3.0000000000000001E-3</v>
      </c>
      <c r="I129" t="s">
        <v>3240</v>
      </c>
    </row>
    <row r="130" spans="1:9">
      <c r="A130" t="s">
        <v>3271</v>
      </c>
      <c r="B130" t="s">
        <v>219</v>
      </c>
      <c r="C130" s="2" t="s">
        <v>251</v>
      </c>
      <c r="E130">
        <v>39056.580999999998</v>
      </c>
      <c r="G130">
        <v>3.0000000000000001E-3</v>
      </c>
      <c r="I130" t="s">
        <v>3240</v>
      </c>
    </row>
    <row r="131" spans="1:9">
      <c r="A131" t="s">
        <v>3270</v>
      </c>
      <c r="B131" t="s">
        <v>665</v>
      </c>
      <c r="C131" s="2" t="s">
        <v>250</v>
      </c>
      <c r="E131">
        <v>39001.464999999997</v>
      </c>
      <c r="G131">
        <v>4.0000000000000001E-3</v>
      </c>
      <c r="I131" t="s">
        <v>3240</v>
      </c>
    </row>
    <row r="132" spans="1:9">
      <c r="A132" t="s">
        <v>3270</v>
      </c>
      <c r="B132" t="s">
        <v>595</v>
      </c>
      <c r="C132" s="2" t="s">
        <v>248</v>
      </c>
      <c r="E132">
        <v>39087.277000000002</v>
      </c>
      <c r="G132">
        <v>3.0000000000000001E-3</v>
      </c>
      <c r="I132" t="s">
        <v>3240</v>
      </c>
    </row>
    <row r="133" spans="1:9">
      <c r="A133" t="s">
        <v>3270</v>
      </c>
      <c r="B133" t="s">
        <v>595</v>
      </c>
      <c r="C133" s="2" t="s">
        <v>250</v>
      </c>
      <c r="E133">
        <v>39209.421999999999</v>
      </c>
      <c r="G133">
        <v>2E-3</v>
      </c>
      <c r="I133" t="s">
        <v>3240</v>
      </c>
    </row>
    <row r="134" spans="1:9">
      <c r="A134" t="s">
        <v>3271</v>
      </c>
      <c r="B134" t="s">
        <v>218</v>
      </c>
      <c r="C134" s="2" t="s">
        <v>250</v>
      </c>
      <c r="E134">
        <v>39241.468000000001</v>
      </c>
      <c r="G134">
        <v>5.0000000000000001E-3</v>
      </c>
      <c r="I134" t="s">
        <v>3240</v>
      </c>
    </row>
    <row r="135" spans="1:9">
      <c r="A135" t="s">
        <v>3271</v>
      </c>
      <c r="B135" t="s">
        <v>218</v>
      </c>
      <c r="C135" s="2" t="s">
        <v>249</v>
      </c>
      <c r="E135">
        <v>39288.252999999997</v>
      </c>
      <c r="G135">
        <v>2E-3</v>
      </c>
      <c r="I135" t="s">
        <v>3240</v>
      </c>
    </row>
    <row r="136" spans="1:9">
      <c r="A136" t="s">
        <v>3271</v>
      </c>
      <c r="B136" t="s">
        <v>213</v>
      </c>
      <c r="C136" s="2" t="s">
        <v>248</v>
      </c>
      <c r="E136">
        <v>39271.423000000003</v>
      </c>
      <c r="G136">
        <v>3.0000000000000001E-3</v>
      </c>
      <c r="I136" t="s">
        <v>3240</v>
      </c>
    </row>
    <row r="137" spans="1:9">
      <c r="A137" t="s">
        <v>3271</v>
      </c>
      <c r="B137" t="s">
        <v>213</v>
      </c>
      <c r="C137" s="2" t="s">
        <v>250</v>
      </c>
      <c r="E137">
        <v>39418.175000000003</v>
      </c>
      <c r="G137">
        <v>3.0000000000000001E-3</v>
      </c>
      <c r="I137" t="s">
        <v>3240</v>
      </c>
    </row>
    <row r="138" spans="1:9">
      <c r="A138" t="s">
        <v>3271</v>
      </c>
      <c r="B138" t="s">
        <v>213</v>
      </c>
      <c r="C138" s="2" t="s">
        <v>249</v>
      </c>
      <c r="E138">
        <v>39727.351000000002</v>
      </c>
      <c r="G138">
        <v>3.0000000000000001E-3</v>
      </c>
      <c r="I138" t="s">
        <v>3240</v>
      </c>
    </row>
    <row r="139" spans="1:9">
      <c r="B139">
        <v>1.1000000000000001</v>
      </c>
      <c r="C139" s="2" t="s">
        <v>250</v>
      </c>
      <c r="E139">
        <v>39313.286999999997</v>
      </c>
      <c r="G139">
        <v>1E-3</v>
      </c>
      <c r="I139" t="s">
        <v>3240</v>
      </c>
    </row>
    <row r="140" spans="1:9">
      <c r="A140" t="s">
        <v>3270</v>
      </c>
      <c r="B140" t="s">
        <v>577</v>
      </c>
      <c r="C140" s="2" t="s">
        <v>249</v>
      </c>
      <c r="E140">
        <v>39441.591</v>
      </c>
      <c r="G140">
        <v>2E-3</v>
      </c>
      <c r="I140" t="s">
        <v>3240</v>
      </c>
    </row>
    <row r="141" spans="1:9">
      <c r="A141" t="s">
        <v>3270</v>
      </c>
      <c r="B141" t="s">
        <v>577</v>
      </c>
      <c r="C141" s="2" t="s">
        <v>251</v>
      </c>
      <c r="E141">
        <v>39963.658000000003</v>
      </c>
      <c r="G141">
        <v>3.0000000000000001E-3</v>
      </c>
      <c r="I141" t="s">
        <v>3240</v>
      </c>
    </row>
    <row r="142" spans="1:9">
      <c r="A142" t="s">
        <v>3270</v>
      </c>
      <c r="B142" t="s">
        <v>1304</v>
      </c>
      <c r="C142" s="2" t="s">
        <v>250</v>
      </c>
      <c r="E142">
        <v>39446.322</v>
      </c>
      <c r="G142">
        <v>4.0000000000000001E-3</v>
      </c>
      <c r="H142">
        <v>0.56999999999999995</v>
      </c>
      <c r="I142" t="s">
        <v>3240</v>
      </c>
    </row>
    <row r="143" spans="1:9">
      <c r="A143" t="s">
        <v>3270</v>
      </c>
      <c r="B143" t="s">
        <v>1304</v>
      </c>
      <c r="C143" s="2" t="s">
        <v>249</v>
      </c>
      <c r="E143">
        <v>39565.084999999999</v>
      </c>
      <c r="G143">
        <v>4.0000000000000001E-3</v>
      </c>
      <c r="H143">
        <v>1.1200000000000001</v>
      </c>
      <c r="I143" t="s">
        <v>3240</v>
      </c>
    </row>
    <row r="144" spans="1:9">
      <c r="A144" t="s">
        <v>3270</v>
      </c>
      <c r="B144" t="s">
        <v>1304</v>
      </c>
      <c r="C144" s="2" t="s">
        <v>251</v>
      </c>
      <c r="E144">
        <v>39757.942000000003</v>
      </c>
      <c r="G144">
        <v>4.0000000000000001E-3</v>
      </c>
      <c r="H144">
        <v>1.2</v>
      </c>
      <c r="I144" t="s">
        <v>3240</v>
      </c>
    </row>
    <row r="145" spans="1:9">
      <c r="A145" t="s">
        <v>3270</v>
      </c>
      <c r="B145" t="s">
        <v>1304</v>
      </c>
      <c r="C145" s="2" t="s">
        <v>252</v>
      </c>
      <c r="E145">
        <v>39900.540999999997</v>
      </c>
      <c r="G145">
        <v>3.0000000000000001E-3</v>
      </c>
      <c r="I145" t="s">
        <v>3240</v>
      </c>
    </row>
    <row r="146" spans="1:9">
      <c r="B146">
        <v>1.2</v>
      </c>
      <c r="C146" s="2" t="s">
        <v>250</v>
      </c>
      <c r="E146">
        <v>39553.048000000003</v>
      </c>
      <c r="G146">
        <v>0.02</v>
      </c>
      <c r="I146" t="s">
        <v>3240</v>
      </c>
    </row>
    <row r="147" spans="1:9">
      <c r="B147">
        <v>1.3</v>
      </c>
      <c r="C147" s="2" t="s">
        <v>250</v>
      </c>
      <c r="E147">
        <v>39686.04</v>
      </c>
      <c r="G147">
        <v>3.0000000000000001E-3</v>
      </c>
      <c r="I147" t="s">
        <v>3240</v>
      </c>
    </row>
    <row r="148" spans="1:9">
      <c r="A148" t="s">
        <v>3270</v>
      </c>
      <c r="B148" t="s">
        <v>2711</v>
      </c>
      <c r="C148" s="2" t="s">
        <v>248</v>
      </c>
      <c r="E148">
        <v>40287.756999999998</v>
      </c>
      <c r="G148">
        <v>5.0000000000000001E-3</v>
      </c>
      <c r="I148" t="s">
        <v>3240</v>
      </c>
    </row>
    <row r="149" spans="1:9">
      <c r="A149" t="s">
        <v>3270</v>
      </c>
      <c r="B149" t="s">
        <v>2711</v>
      </c>
      <c r="C149" s="2" t="s">
        <v>250</v>
      </c>
      <c r="E149">
        <v>40455.071000000004</v>
      </c>
      <c r="G149">
        <v>4.0000000000000001E-3</v>
      </c>
      <c r="I149" t="s">
        <v>3240</v>
      </c>
    </row>
    <row r="150" spans="1:9">
      <c r="A150" t="s">
        <v>3270</v>
      </c>
      <c r="B150" t="s">
        <v>2711</v>
      </c>
      <c r="C150" s="2" t="s">
        <v>249</v>
      </c>
      <c r="E150">
        <v>40517.03</v>
      </c>
      <c r="G150">
        <v>4.0000000000000001E-3</v>
      </c>
      <c r="H150">
        <v>1.52</v>
      </c>
      <c r="I150" t="s">
        <v>3240</v>
      </c>
    </row>
    <row r="151" spans="1:9">
      <c r="A151" t="s">
        <v>3261</v>
      </c>
      <c r="B151" t="s">
        <v>1384</v>
      </c>
      <c r="C151" s="2" t="s">
        <v>250</v>
      </c>
      <c r="E151">
        <v>40636.544999999998</v>
      </c>
      <c r="G151">
        <v>3.0000000000000001E-3</v>
      </c>
      <c r="I151" t="s">
        <v>3240</v>
      </c>
    </row>
    <row r="152" spans="1:9">
      <c r="A152" t="s">
        <v>3261</v>
      </c>
      <c r="B152" t="s">
        <v>1384</v>
      </c>
      <c r="C152" s="2" t="s">
        <v>249</v>
      </c>
      <c r="E152">
        <v>40672.368999999999</v>
      </c>
      <c r="G152">
        <v>2E-3</v>
      </c>
      <c r="H152">
        <v>1.25</v>
      </c>
      <c r="I152" t="s">
        <v>3240</v>
      </c>
    </row>
    <row r="153" spans="1:9">
      <c r="A153" t="s">
        <v>3270</v>
      </c>
      <c r="B153" t="s">
        <v>209</v>
      </c>
      <c r="C153" s="2" t="s">
        <v>250</v>
      </c>
      <c r="E153">
        <v>41422.889000000003</v>
      </c>
      <c r="G153">
        <v>2E-3</v>
      </c>
      <c r="I153" t="s">
        <v>3240</v>
      </c>
    </row>
    <row r="154" spans="1:9">
      <c r="A154" t="s">
        <v>3270</v>
      </c>
      <c r="B154" t="s">
        <v>209</v>
      </c>
      <c r="C154" s="2" t="s">
        <v>249</v>
      </c>
      <c r="E154">
        <v>41503.538</v>
      </c>
      <c r="G154">
        <v>3.0000000000000001E-3</v>
      </c>
      <c r="I154" t="s">
        <v>3240</v>
      </c>
    </row>
    <row r="155" spans="1:9">
      <c r="A155" t="s">
        <v>3272</v>
      </c>
      <c r="B155" t="s">
        <v>209</v>
      </c>
      <c r="C155" s="2" t="s">
        <v>250</v>
      </c>
      <c r="E155">
        <v>41660.521000000001</v>
      </c>
      <c r="G155">
        <v>3.0000000000000001E-3</v>
      </c>
      <c r="I155" t="s">
        <v>3240</v>
      </c>
    </row>
    <row r="156" spans="1:9">
      <c r="A156" t="s">
        <v>3272</v>
      </c>
      <c r="B156" t="s">
        <v>209</v>
      </c>
      <c r="C156" s="2" t="s">
        <v>249</v>
      </c>
      <c r="E156">
        <v>41669.656999999999</v>
      </c>
      <c r="G156">
        <v>2E-3</v>
      </c>
      <c r="I156" t="s">
        <v>3240</v>
      </c>
    </row>
    <row r="157" spans="1:9">
      <c r="B157">
        <v>1.4</v>
      </c>
      <c r="C157" s="2" t="s">
        <v>250</v>
      </c>
      <c r="E157">
        <v>41853.349000000002</v>
      </c>
      <c r="G157">
        <v>3.0000000000000001E-3</v>
      </c>
      <c r="I157" t="s">
        <v>3240</v>
      </c>
    </row>
    <row r="158" spans="1:9">
      <c r="A158" t="s">
        <v>3273</v>
      </c>
      <c r="B158" t="s">
        <v>209</v>
      </c>
      <c r="C158" s="2" t="s">
        <v>250</v>
      </c>
      <c r="E158">
        <v>42048.968999999997</v>
      </c>
      <c r="G158">
        <v>2E-3</v>
      </c>
      <c r="I158" t="s">
        <v>3240</v>
      </c>
    </row>
    <row r="159" spans="1:9">
      <c r="A159" t="s">
        <v>3273</v>
      </c>
      <c r="B159" t="s">
        <v>209</v>
      </c>
      <c r="C159" s="2" t="s">
        <v>249</v>
      </c>
      <c r="E159">
        <v>42098.716999999997</v>
      </c>
      <c r="G159">
        <v>2E-3</v>
      </c>
      <c r="I159" t="s">
        <v>3240</v>
      </c>
    </row>
    <row r="160" spans="1:9">
      <c r="A160" t="s">
        <v>3274</v>
      </c>
      <c r="B160" t="s">
        <v>576</v>
      </c>
      <c r="C160" s="2" t="s">
        <v>250</v>
      </c>
      <c r="E160">
        <v>42106.775000000001</v>
      </c>
      <c r="G160">
        <v>5.0000000000000001E-3</v>
      </c>
      <c r="I160" t="s">
        <v>3240</v>
      </c>
    </row>
    <row r="161" spans="1:9">
      <c r="A161" t="s">
        <v>3274</v>
      </c>
      <c r="B161" t="s">
        <v>576</v>
      </c>
      <c r="C161" s="2" t="s">
        <v>249</v>
      </c>
      <c r="E161">
        <v>42253.63</v>
      </c>
      <c r="G161">
        <v>7.0000000000000001E-3</v>
      </c>
      <c r="I161" t="s">
        <v>3240</v>
      </c>
    </row>
    <row r="162" spans="1:9">
      <c r="A162" t="s">
        <v>3274</v>
      </c>
      <c r="B162" t="s">
        <v>576</v>
      </c>
      <c r="C162" s="2" t="s">
        <v>251</v>
      </c>
      <c r="E162">
        <v>42487.974000000002</v>
      </c>
      <c r="G162">
        <v>7.0000000000000001E-3</v>
      </c>
      <c r="I162" t="s">
        <v>3240</v>
      </c>
    </row>
    <row r="163" spans="1:9">
      <c r="A163" t="s">
        <v>3274</v>
      </c>
      <c r="B163" t="s">
        <v>576</v>
      </c>
      <c r="C163" s="2" t="s">
        <v>252</v>
      </c>
      <c r="E163">
        <v>42807.326000000001</v>
      </c>
      <c r="G163">
        <v>8.0000000000000002E-3</v>
      </c>
      <c r="I163" t="s">
        <v>3240</v>
      </c>
    </row>
    <row r="164" spans="1:9">
      <c r="B164" t="s">
        <v>3275</v>
      </c>
      <c r="E164">
        <v>42113.271000000001</v>
      </c>
      <c r="G164">
        <v>4.0000000000000001E-3</v>
      </c>
      <c r="I164" t="s">
        <v>3240</v>
      </c>
    </row>
    <row r="165" spans="1:9">
      <c r="A165" t="s">
        <v>3272</v>
      </c>
      <c r="B165" t="s">
        <v>595</v>
      </c>
      <c r="C165" s="2" t="s">
        <v>248</v>
      </c>
      <c r="E165">
        <v>42655.627999999997</v>
      </c>
      <c r="G165">
        <v>3.0000000000000001E-3</v>
      </c>
      <c r="I165" t="s">
        <v>3240</v>
      </c>
    </row>
    <row r="166" spans="1:9">
      <c r="A166" t="s">
        <v>3272</v>
      </c>
      <c r="B166" t="s">
        <v>595</v>
      </c>
      <c r="C166" s="2" t="s">
        <v>250</v>
      </c>
      <c r="E166">
        <v>42685.87</v>
      </c>
      <c r="G166">
        <v>2E-3</v>
      </c>
      <c r="I166" t="s">
        <v>3240</v>
      </c>
    </row>
    <row r="167" spans="1:9">
      <c r="A167" t="s">
        <v>3269</v>
      </c>
      <c r="B167" t="s">
        <v>2446</v>
      </c>
      <c r="C167" s="2" t="s">
        <v>249</v>
      </c>
      <c r="E167">
        <v>42857.855000000003</v>
      </c>
      <c r="G167">
        <v>8.9999999999999993E-3</v>
      </c>
      <c r="I167" t="s">
        <v>3240</v>
      </c>
    </row>
    <row r="168" spans="1:9">
      <c r="A168" t="s">
        <v>3269</v>
      </c>
      <c r="B168" t="s">
        <v>2446</v>
      </c>
      <c r="C168" s="2" t="s">
        <v>251</v>
      </c>
      <c r="E168">
        <v>42995.084999999999</v>
      </c>
      <c r="G168">
        <v>2E-3</v>
      </c>
      <c r="I168" t="s">
        <v>3240</v>
      </c>
    </row>
    <row r="169" spans="1:9">
      <c r="C169" s="2" t="s">
        <v>249</v>
      </c>
      <c r="E169">
        <v>43070</v>
      </c>
      <c r="I169" t="s">
        <v>3265</v>
      </c>
    </row>
    <row r="170" spans="1:9">
      <c r="A170" t="s">
        <v>3276</v>
      </c>
      <c r="B170" t="s">
        <v>576</v>
      </c>
      <c r="C170" s="2" t="s">
        <v>250</v>
      </c>
      <c r="E170">
        <v>43095.78</v>
      </c>
      <c r="G170">
        <v>6.0000000000000001E-3</v>
      </c>
      <c r="I170" t="s">
        <v>3240</v>
      </c>
    </row>
    <row r="171" spans="1:9">
      <c r="A171" t="s">
        <v>3276</v>
      </c>
      <c r="B171" t="s">
        <v>576</v>
      </c>
      <c r="C171" s="2" t="s">
        <v>249</v>
      </c>
      <c r="E171">
        <v>43337.601000000002</v>
      </c>
      <c r="G171">
        <v>3.0000000000000001E-3</v>
      </c>
      <c r="I171" t="s">
        <v>3240</v>
      </c>
    </row>
    <row r="172" spans="1:9">
      <c r="A172" t="s">
        <v>3276</v>
      </c>
      <c r="B172" t="s">
        <v>576</v>
      </c>
      <c r="C172" s="2" t="s">
        <v>251</v>
      </c>
      <c r="E172">
        <v>43704.510999999999</v>
      </c>
      <c r="G172">
        <v>3.0000000000000001E-3</v>
      </c>
      <c r="H172">
        <v>1.26</v>
      </c>
      <c r="I172" t="s">
        <v>3240</v>
      </c>
    </row>
    <row r="173" spans="1:9">
      <c r="A173" t="s">
        <v>3276</v>
      </c>
      <c r="B173" t="s">
        <v>576</v>
      </c>
      <c r="C173" s="2" t="s">
        <v>252</v>
      </c>
      <c r="E173">
        <v>44190.205000000002</v>
      </c>
      <c r="G173">
        <v>5.0000000000000001E-3</v>
      </c>
      <c r="H173">
        <v>1.33</v>
      </c>
      <c r="I173" t="s">
        <v>3240</v>
      </c>
    </row>
    <row r="174" spans="1:9">
      <c r="A174" t="s">
        <v>3277</v>
      </c>
      <c r="B174" t="s">
        <v>3278</v>
      </c>
      <c r="C174" s="2" t="s">
        <v>248</v>
      </c>
      <c r="E174">
        <v>43643.601000000002</v>
      </c>
      <c r="G174">
        <v>3.0000000000000001E-3</v>
      </c>
      <c r="I174" t="s">
        <v>3240</v>
      </c>
    </row>
    <row r="175" spans="1:9">
      <c r="A175" t="s">
        <v>3272</v>
      </c>
      <c r="B175" t="s">
        <v>577</v>
      </c>
      <c r="C175" s="2" t="s">
        <v>249</v>
      </c>
      <c r="E175">
        <v>43879.743999999999</v>
      </c>
      <c r="G175">
        <v>1.2E-2</v>
      </c>
      <c r="I175" t="s">
        <v>3240</v>
      </c>
    </row>
    <row r="176" spans="1:9">
      <c r="A176" t="s">
        <v>3272</v>
      </c>
      <c r="B176" t="s">
        <v>577</v>
      </c>
      <c r="C176" s="2" t="s">
        <v>251</v>
      </c>
      <c r="E176">
        <v>44186.256000000001</v>
      </c>
      <c r="G176">
        <v>3.0000000000000001E-3</v>
      </c>
      <c r="I176" t="s">
        <v>3240</v>
      </c>
    </row>
    <row r="177" spans="1:9">
      <c r="B177" t="s">
        <v>2690</v>
      </c>
      <c r="C177" s="2" t="s">
        <v>249</v>
      </c>
      <c r="E177">
        <v>44052.800000000003</v>
      </c>
      <c r="F177" t="s">
        <v>34</v>
      </c>
      <c r="I177" t="s">
        <v>3265</v>
      </c>
    </row>
    <row r="178" spans="1:9">
      <c r="B178" t="s">
        <v>2690</v>
      </c>
      <c r="C178" s="2" t="s">
        <v>251</v>
      </c>
      <c r="E178">
        <v>44366.1</v>
      </c>
      <c r="I178" t="s">
        <v>3265</v>
      </c>
    </row>
    <row r="179" spans="1:9">
      <c r="B179" t="s">
        <v>2690</v>
      </c>
      <c r="C179" s="2" t="s">
        <v>252</v>
      </c>
      <c r="E179">
        <v>44759.6</v>
      </c>
      <c r="I179" t="s">
        <v>3265</v>
      </c>
    </row>
    <row r="180" spans="1:9">
      <c r="A180" t="s">
        <v>3279</v>
      </c>
      <c r="B180" t="s">
        <v>3280</v>
      </c>
      <c r="C180" s="2" t="s">
        <v>249</v>
      </c>
      <c r="E180">
        <v>44654.8</v>
      </c>
      <c r="I180" t="s">
        <v>3265</v>
      </c>
    </row>
    <row r="181" spans="1:9">
      <c r="A181" t="s">
        <v>3279</v>
      </c>
      <c r="B181" t="s">
        <v>3280</v>
      </c>
      <c r="C181" s="2" t="s">
        <v>251</v>
      </c>
      <c r="E181">
        <v>44922</v>
      </c>
      <c r="I181" t="s">
        <v>3265</v>
      </c>
    </row>
    <row r="182" spans="1:9">
      <c r="A182" t="s">
        <v>3276</v>
      </c>
      <c r="B182" t="s">
        <v>3281</v>
      </c>
      <c r="C182" s="2" t="s">
        <v>248</v>
      </c>
      <c r="E182">
        <v>44660.036</v>
      </c>
      <c r="G182">
        <v>5.0000000000000001E-3</v>
      </c>
      <c r="I182" t="s">
        <v>3240</v>
      </c>
    </row>
    <row r="183" spans="1:9">
      <c r="A183" t="s">
        <v>3276</v>
      </c>
      <c r="B183" t="s">
        <v>3281</v>
      </c>
      <c r="C183" s="2" t="s">
        <v>250</v>
      </c>
      <c r="E183">
        <v>44748.195</v>
      </c>
      <c r="G183">
        <v>2E-3</v>
      </c>
      <c r="I183" t="s">
        <v>3240</v>
      </c>
    </row>
    <row r="184" spans="1:9">
      <c r="A184" t="s">
        <v>3276</v>
      </c>
      <c r="B184" t="s">
        <v>3281</v>
      </c>
      <c r="C184" s="2" t="s">
        <v>249</v>
      </c>
      <c r="E184">
        <v>45008.46</v>
      </c>
      <c r="G184">
        <v>3.0000000000000001E-3</v>
      </c>
      <c r="I184" t="s">
        <v>3240</v>
      </c>
    </row>
    <row r="185" spans="1:9">
      <c r="A185" t="s">
        <v>3276</v>
      </c>
      <c r="B185" t="s">
        <v>3281</v>
      </c>
      <c r="C185" s="2" t="s">
        <v>251</v>
      </c>
      <c r="E185">
        <v>45203.695</v>
      </c>
      <c r="G185">
        <v>2E-3</v>
      </c>
      <c r="I185" t="s">
        <v>3240</v>
      </c>
    </row>
    <row r="186" spans="1:9">
      <c r="B186" t="s">
        <v>2702</v>
      </c>
      <c r="C186" s="2" t="s">
        <v>250</v>
      </c>
      <c r="E186">
        <v>44742.7</v>
      </c>
      <c r="F186" t="s">
        <v>34</v>
      </c>
      <c r="H186">
        <v>0.73</v>
      </c>
      <c r="I186" t="s">
        <v>3265</v>
      </c>
    </row>
    <row r="187" spans="1:9">
      <c r="B187" t="s">
        <v>2702</v>
      </c>
      <c r="C187" s="2" t="s">
        <v>249</v>
      </c>
      <c r="E187">
        <v>45069.3</v>
      </c>
      <c r="I187" t="s">
        <v>3265</v>
      </c>
    </row>
    <row r="188" spans="1:9">
      <c r="B188" t="s">
        <v>2702</v>
      </c>
      <c r="C188" s="2" t="s">
        <v>251</v>
      </c>
      <c r="E188">
        <v>45388.5</v>
      </c>
      <c r="I188" t="s">
        <v>3265</v>
      </c>
    </row>
    <row r="189" spans="1:9">
      <c r="B189" t="s">
        <v>2702</v>
      </c>
      <c r="C189" s="2" t="s">
        <v>252</v>
      </c>
      <c r="E189">
        <v>45796.5</v>
      </c>
      <c r="H189">
        <v>1.37</v>
      </c>
      <c r="I189" t="s">
        <v>3265</v>
      </c>
    </row>
    <row r="190" spans="1:9">
      <c r="B190">
        <v>2</v>
      </c>
      <c r="C190" s="2" t="s">
        <v>2783</v>
      </c>
      <c r="E190">
        <v>44984.1</v>
      </c>
      <c r="I190" t="s">
        <v>3265</v>
      </c>
    </row>
    <row r="191" spans="1:9">
      <c r="B191">
        <v>3</v>
      </c>
      <c r="C191" s="2" t="s">
        <v>251</v>
      </c>
      <c r="E191">
        <v>45663.408000000003</v>
      </c>
      <c r="G191">
        <v>2E-3</v>
      </c>
      <c r="I191" t="s">
        <v>3240</v>
      </c>
    </row>
    <row r="192" spans="1:9">
      <c r="A192" t="s">
        <v>3282</v>
      </c>
      <c r="B192" t="s">
        <v>3283</v>
      </c>
      <c r="C192" s="2" t="s">
        <v>248</v>
      </c>
      <c r="E192">
        <v>45947.504999999997</v>
      </c>
      <c r="G192">
        <v>4.0000000000000001E-3</v>
      </c>
      <c r="I192" t="s">
        <v>3240</v>
      </c>
    </row>
    <row r="193" spans="1:9">
      <c r="A193" t="s">
        <v>3282</v>
      </c>
      <c r="B193" t="s">
        <v>3283</v>
      </c>
      <c r="C193" s="2" t="s">
        <v>250</v>
      </c>
      <c r="E193">
        <v>45994.175999999999</v>
      </c>
      <c r="G193">
        <v>4.0000000000000001E-3</v>
      </c>
      <c r="I193" t="s">
        <v>3240</v>
      </c>
    </row>
    <row r="194" spans="1:9">
      <c r="A194" t="s">
        <v>3284</v>
      </c>
      <c r="B194" t="s">
        <v>202</v>
      </c>
      <c r="C194" s="2" t="s">
        <v>203</v>
      </c>
      <c r="E194">
        <v>50145.599999999999</v>
      </c>
      <c r="G194">
        <v>0.8</v>
      </c>
      <c r="I194" t="s">
        <v>3285</v>
      </c>
    </row>
    <row r="195" spans="1:9">
      <c r="A195" t="s">
        <v>3286</v>
      </c>
      <c r="B195" t="s">
        <v>2713</v>
      </c>
      <c r="C195" s="2" t="s">
        <v>249</v>
      </c>
      <c r="E195">
        <v>50254</v>
      </c>
      <c r="I195" t="s">
        <v>3265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B2DE-6412-4876-ADD9-B3F16B97267B}">
  <dimension ref="A1:J263"/>
  <sheetViews>
    <sheetView workbookViewId="0">
      <selection sqref="A1:J1048576"/>
    </sheetView>
  </sheetViews>
  <sheetFormatPr defaultRowHeight="15"/>
  <cols>
    <col min="1" max="1" width="19.28515625" bestFit="1" customWidth="1"/>
    <col min="2" max="2" width="6.2851562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56.42578125" bestFit="1" customWidth="1"/>
    <col min="10" max="10" width="10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3287</v>
      </c>
      <c r="B2" t="s">
        <v>13</v>
      </c>
      <c r="C2">
        <v>2</v>
      </c>
      <c r="E2">
        <v>0</v>
      </c>
      <c r="H2">
        <v>0.66</v>
      </c>
      <c r="I2" t="s">
        <v>3288</v>
      </c>
      <c r="J2" t="s">
        <v>3265</v>
      </c>
    </row>
    <row r="3" spans="1:10">
      <c r="A3" t="s">
        <v>3287</v>
      </c>
      <c r="B3" t="s">
        <v>13</v>
      </c>
      <c r="C3">
        <v>3</v>
      </c>
      <c r="E3">
        <v>570.41</v>
      </c>
      <c r="H3">
        <v>1.06</v>
      </c>
      <c r="I3" t="s">
        <v>3289</v>
      </c>
    </row>
    <row r="4" spans="1:10">
      <c r="A4" t="s">
        <v>3287</v>
      </c>
      <c r="B4" t="s">
        <v>13</v>
      </c>
      <c r="C4">
        <v>4</v>
      </c>
      <c r="E4">
        <v>1240.8399999999999</v>
      </c>
      <c r="H4">
        <v>1.24</v>
      </c>
      <c r="I4" t="s">
        <v>3289</v>
      </c>
    </row>
    <row r="5" spans="1:10">
      <c r="A5" t="s">
        <v>3287</v>
      </c>
      <c r="B5" t="s">
        <v>21</v>
      </c>
      <c r="C5">
        <v>2</v>
      </c>
      <c r="E5">
        <v>4186.1099999999997</v>
      </c>
      <c r="H5">
        <v>1.25</v>
      </c>
      <c r="I5" t="s">
        <v>3290</v>
      </c>
    </row>
    <row r="6" spans="1:10">
      <c r="A6" t="s">
        <v>3287</v>
      </c>
      <c r="B6" t="s">
        <v>21</v>
      </c>
      <c r="C6">
        <v>0</v>
      </c>
      <c r="E6">
        <v>4196.8500000000004</v>
      </c>
      <c r="H6">
        <v>0</v>
      </c>
      <c r="I6" t="s">
        <v>3291</v>
      </c>
    </row>
    <row r="7" spans="1:10">
      <c r="A7" t="s">
        <v>3287</v>
      </c>
      <c r="B7" t="s">
        <v>21</v>
      </c>
      <c r="C7">
        <v>1</v>
      </c>
      <c r="E7">
        <v>4376.28</v>
      </c>
      <c r="H7">
        <v>1.48</v>
      </c>
      <c r="I7" t="s">
        <v>3292</v>
      </c>
    </row>
    <row r="8" spans="1:10">
      <c r="A8" t="s">
        <v>3293</v>
      </c>
      <c r="B8" t="s">
        <v>11</v>
      </c>
      <c r="C8">
        <v>1</v>
      </c>
      <c r="E8">
        <v>4870.53</v>
      </c>
      <c r="H8">
        <v>0</v>
      </c>
      <c r="I8" t="s">
        <v>3294</v>
      </c>
    </row>
    <row r="9" spans="1:10">
      <c r="A9" t="s">
        <v>3293</v>
      </c>
      <c r="B9" t="s">
        <v>11</v>
      </c>
      <c r="C9">
        <v>2</v>
      </c>
      <c r="E9">
        <v>5023.41</v>
      </c>
      <c r="H9">
        <v>0.98</v>
      </c>
      <c r="I9" t="s">
        <v>3295</v>
      </c>
    </row>
    <row r="10" spans="1:10">
      <c r="A10" t="s">
        <v>3293</v>
      </c>
      <c r="B10" t="s">
        <v>11</v>
      </c>
      <c r="C10">
        <v>3</v>
      </c>
      <c r="E10">
        <v>5249.07</v>
      </c>
      <c r="H10">
        <v>1.28</v>
      </c>
      <c r="I10" t="s">
        <v>3296</v>
      </c>
    </row>
    <row r="11" spans="1:10">
      <c r="A11" t="s">
        <v>3293</v>
      </c>
      <c r="B11" t="s">
        <v>11</v>
      </c>
      <c r="C11">
        <v>4</v>
      </c>
      <c r="E11">
        <v>5540.54</v>
      </c>
      <c r="H11">
        <v>1.31</v>
      </c>
      <c r="I11" t="s">
        <v>3294</v>
      </c>
    </row>
    <row r="12" spans="1:10">
      <c r="A12" t="s">
        <v>3293</v>
      </c>
      <c r="B12" t="s">
        <v>11</v>
      </c>
      <c r="C12">
        <v>5</v>
      </c>
      <c r="E12">
        <v>5888.93</v>
      </c>
      <c r="H12">
        <v>1.37</v>
      </c>
      <c r="I12" t="s">
        <v>3294</v>
      </c>
    </row>
    <row r="13" spans="1:10">
      <c r="A13" t="s">
        <v>3287</v>
      </c>
      <c r="B13" t="s">
        <v>30</v>
      </c>
      <c r="C13">
        <v>2</v>
      </c>
      <c r="E13">
        <v>5101.68</v>
      </c>
      <c r="H13">
        <v>1.25</v>
      </c>
      <c r="I13" t="s">
        <v>3297</v>
      </c>
    </row>
    <row r="14" spans="1:10">
      <c r="A14" t="s">
        <v>3287</v>
      </c>
      <c r="B14" t="s">
        <v>25</v>
      </c>
      <c r="C14">
        <v>4</v>
      </c>
      <c r="E14">
        <v>8057.3</v>
      </c>
      <c r="H14">
        <v>1</v>
      </c>
      <c r="I14" t="s">
        <v>3298</v>
      </c>
    </row>
    <row r="15" spans="1:10">
      <c r="A15" t="s">
        <v>3299</v>
      </c>
      <c r="B15" t="s">
        <v>17</v>
      </c>
      <c r="C15">
        <v>1</v>
      </c>
      <c r="E15">
        <v>10885.36</v>
      </c>
      <c r="H15">
        <v>2.58</v>
      </c>
      <c r="I15" t="s">
        <v>3300</v>
      </c>
    </row>
    <row r="16" spans="1:10">
      <c r="A16" t="s">
        <v>3299</v>
      </c>
      <c r="B16" t="s">
        <v>17</v>
      </c>
      <c r="C16">
        <v>2</v>
      </c>
      <c r="E16">
        <v>11016.65</v>
      </c>
      <c r="H16">
        <v>1.85</v>
      </c>
      <c r="I16" t="s">
        <v>3301</v>
      </c>
    </row>
    <row r="17" spans="1:9">
      <c r="A17" t="s">
        <v>3299</v>
      </c>
      <c r="B17" t="s">
        <v>17</v>
      </c>
      <c r="C17">
        <v>3</v>
      </c>
      <c r="E17">
        <v>11258.38</v>
      </c>
      <c r="H17">
        <v>1.66</v>
      </c>
      <c r="I17" t="s">
        <v>3302</v>
      </c>
    </row>
    <row r="18" spans="1:9">
      <c r="A18" t="s">
        <v>3293</v>
      </c>
      <c r="B18" t="s">
        <v>19</v>
      </c>
      <c r="C18">
        <v>2</v>
      </c>
      <c r="E18">
        <v>11640.72</v>
      </c>
      <c r="H18">
        <v>0.75</v>
      </c>
      <c r="I18" t="s">
        <v>3288</v>
      </c>
    </row>
    <row r="19" spans="1:9">
      <c r="A19" t="s">
        <v>3293</v>
      </c>
      <c r="B19" t="s">
        <v>19</v>
      </c>
      <c r="C19">
        <v>3</v>
      </c>
      <c r="E19">
        <v>11956.33</v>
      </c>
      <c r="H19">
        <v>1.05</v>
      </c>
      <c r="I19" t="s">
        <v>3302</v>
      </c>
    </row>
    <row r="20" spans="1:9">
      <c r="A20" t="s">
        <v>3293</v>
      </c>
      <c r="B20" t="s">
        <v>19</v>
      </c>
      <c r="C20">
        <v>4</v>
      </c>
      <c r="E20">
        <v>12342.37</v>
      </c>
      <c r="H20">
        <v>1.1499999999999999</v>
      </c>
      <c r="I20" t="s">
        <v>3303</v>
      </c>
    </row>
    <row r="21" spans="1:9">
      <c r="A21" t="s">
        <v>3304</v>
      </c>
      <c r="B21" t="s">
        <v>23</v>
      </c>
      <c r="C21">
        <v>3</v>
      </c>
      <c r="E21">
        <v>12503.44</v>
      </c>
      <c r="H21">
        <v>0.78</v>
      </c>
      <c r="I21" t="s">
        <v>3302</v>
      </c>
    </row>
    <row r="22" spans="1:9">
      <c r="A22" t="s">
        <v>3304</v>
      </c>
      <c r="B22" t="s">
        <v>23</v>
      </c>
      <c r="C22">
        <v>4</v>
      </c>
      <c r="E22">
        <v>12760.66</v>
      </c>
      <c r="H22">
        <v>1.1499999999999999</v>
      </c>
      <c r="I22" t="s">
        <v>3305</v>
      </c>
    </row>
    <row r="23" spans="1:9">
      <c r="A23" t="s">
        <v>3304</v>
      </c>
      <c r="B23" t="s">
        <v>23</v>
      </c>
      <c r="C23">
        <v>5</v>
      </c>
      <c r="E23">
        <v>12772.78</v>
      </c>
      <c r="H23">
        <v>1.21</v>
      </c>
      <c r="I23" t="s">
        <v>3306</v>
      </c>
    </row>
    <row r="24" spans="1:9">
      <c r="A24" t="s">
        <v>3307</v>
      </c>
      <c r="B24" t="s">
        <v>27</v>
      </c>
      <c r="C24">
        <v>1</v>
      </c>
      <c r="E24">
        <v>14123.01</v>
      </c>
      <c r="H24">
        <v>0.61</v>
      </c>
      <c r="I24" t="s">
        <v>3308</v>
      </c>
    </row>
    <row r="25" spans="1:9">
      <c r="A25" t="s">
        <v>3307</v>
      </c>
      <c r="B25" t="s">
        <v>27</v>
      </c>
      <c r="C25">
        <v>2</v>
      </c>
      <c r="E25">
        <v>14348.78</v>
      </c>
      <c r="H25">
        <v>1.17</v>
      </c>
      <c r="I25" t="s">
        <v>3309</v>
      </c>
    </row>
    <row r="26" spans="1:9">
      <c r="A26" t="s">
        <v>3307</v>
      </c>
      <c r="B26" t="s">
        <v>27</v>
      </c>
      <c r="C26">
        <v>3</v>
      </c>
      <c r="E26">
        <v>14697.03</v>
      </c>
      <c r="H26">
        <v>1.35</v>
      </c>
      <c r="I26" t="s">
        <v>3302</v>
      </c>
    </row>
    <row r="27" spans="1:9">
      <c r="A27" t="s">
        <v>3310</v>
      </c>
      <c r="B27" t="s">
        <v>50</v>
      </c>
      <c r="C27">
        <v>2</v>
      </c>
      <c r="E27">
        <v>14783.54</v>
      </c>
      <c r="H27">
        <v>0.36</v>
      </c>
      <c r="I27" t="s">
        <v>3311</v>
      </c>
    </row>
    <row r="28" spans="1:9">
      <c r="A28" t="s">
        <v>3310</v>
      </c>
      <c r="B28" t="s">
        <v>50</v>
      </c>
      <c r="C28">
        <v>3</v>
      </c>
      <c r="E28">
        <v>15201.26</v>
      </c>
      <c r="H28">
        <v>1.0900000000000001</v>
      </c>
      <c r="I28" t="s">
        <v>3312</v>
      </c>
    </row>
    <row r="29" spans="1:9">
      <c r="A29" t="s">
        <v>3310</v>
      </c>
      <c r="B29" t="s">
        <v>50</v>
      </c>
      <c r="C29">
        <v>4</v>
      </c>
      <c r="E29">
        <v>15720.36</v>
      </c>
      <c r="H29">
        <v>1.1200000000000001</v>
      </c>
      <c r="I29" t="s">
        <v>3313</v>
      </c>
    </row>
    <row r="30" spans="1:9">
      <c r="A30" t="s">
        <v>3310</v>
      </c>
      <c r="B30" t="s">
        <v>50</v>
      </c>
      <c r="C30">
        <v>5</v>
      </c>
      <c r="E30">
        <v>16316.96</v>
      </c>
      <c r="H30">
        <v>1.28</v>
      </c>
      <c r="I30" t="s">
        <v>3314</v>
      </c>
    </row>
    <row r="31" spans="1:9">
      <c r="A31" t="s">
        <v>3310</v>
      </c>
      <c r="B31" t="s">
        <v>50</v>
      </c>
      <c r="C31">
        <v>6</v>
      </c>
      <c r="E31">
        <v>16978.29</v>
      </c>
      <c r="H31">
        <v>1.36</v>
      </c>
      <c r="I31" t="s">
        <v>3314</v>
      </c>
    </row>
    <row r="32" spans="1:9">
      <c r="A32" t="s">
        <v>3315</v>
      </c>
      <c r="B32" t="s">
        <v>29</v>
      </c>
      <c r="C32">
        <v>4</v>
      </c>
      <c r="E32">
        <v>14791.28</v>
      </c>
      <c r="H32">
        <v>0.77</v>
      </c>
      <c r="I32" t="s">
        <v>3316</v>
      </c>
    </row>
    <row r="33" spans="1:9">
      <c r="A33" t="s">
        <v>3315</v>
      </c>
      <c r="B33" t="s">
        <v>29</v>
      </c>
      <c r="C33">
        <v>5</v>
      </c>
      <c r="E33">
        <v>14988.51</v>
      </c>
      <c r="H33">
        <v>1.03</v>
      </c>
      <c r="I33" t="s">
        <v>3316</v>
      </c>
    </row>
    <row r="34" spans="1:9">
      <c r="A34" t="s">
        <v>3315</v>
      </c>
      <c r="B34" t="s">
        <v>29</v>
      </c>
      <c r="C34">
        <v>6</v>
      </c>
      <c r="E34">
        <v>15119.66</v>
      </c>
      <c r="H34">
        <v>1.1499999999999999</v>
      </c>
      <c r="I34" t="s">
        <v>3317</v>
      </c>
    </row>
    <row r="35" spans="1:9">
      <c r="A35" t="s">
        <v>3299</v>
      </c>
      <c r="B35" t="s">
        <v>24</v>
      </c>
      <c r="C35">
        <v>0</v>
      </c>
      <c r="E35">
        <v>15624.34</v>
      </c>
      <c r="H35">
        <v>0</v>
      </c>
      <c r="I35" t="s">
        <v>3318</v>
      </c>
    </row>
    <row r="36" spans="1:9">
      <c r="A36" t="s">
        <v>3299</v>
      </c>
      <c r="B36" t="s">
        <v>24</v>
      </c>
      <c r="C36">
        <v>1</v>
      </c>
      <c r="E36">
        <v>15932.1</v>
      </c>
      <c r="H36">
        <v>1.504</v>
      </c>
      <c r="I36" t="s">
        <v>3319</v>
      </c>
    </row>
    <row r="37" spans="1:9">
      <c r="A37" t="s">
        <v>3299</v>
      </c>
      <c r="B37" t="s">
        <v>24</v>
      </c>
      <c r="C37">
        <v>2</v>
      </c>
      <c r="E37">
        <v>16522.23</v>
      </c>
      <c r="I37" t="s">
        <v>3320</v>
      </c>
    </row>
    <row r="38" spans="1:9">
      <c r="A38" t="s">
        <v>3310</v>
      </c>
      <c r="B38" t="s">
        <v>54</v>
      </c>
      <c r="C38">
        <v>2</v>
      </c>
      <c r="E38">
        <v>16296.51</v>
      </c>
      <c r="H38">
        <v>0.67</v>
      </c>
      <c r="I38" t="s">
        <v>3321</v>
      </c>
    </row>
    <row r="39" spans="1:9">
      <c r="A39" t="s">
        <v>3310</v>
      </c>
      <c r="B39" t="s">
        <v>54</v>
      </c>
      <c r="C39">
        <v>3</v>
      </c>
      <c r="E39">
        <v>16843.93</v>
      </c>
      <c r="H39">
        <v>1.08</v>
      </c>
      <c r="I39" t="s">
        <v>3322</v>
      </c>
    </row>
    <row r="40" spans="1:9">
      <c r="A40" t="s">
        <v>3310</v>
      </c>
      <c r="B40" t="s">
        <v>46</v>
      </c>
      <c r="C40">
        <v>1</v>
      </c>
      <c r="E40">
        <v>16786.93</v>
      </c>
      <c r="H40">
        <v>0.3</v>
      </c>
      <c r="I40" t="s">
        <v>3323</v>
      </c>
    </row>
    <row r="41" spans="1:9">
      <c r="A41" t="s">
        <v>3310</v>
      </c>
      <c r="B41" t="s">
        <v>46</v>
      </c>
      <c r="C41">
        <v>2</v>
      </c>
      <c r="E41">
        <v>17059.61</v>
      </c>
      <c r="H41">
        <v>0.95</v>
      </c>
      <c r="I41" t="s">
        <v>3324</v>
      </c>
    </row>
    <row r="42" spans="1:9">
      <c r="A42" t="s">
        <v>3310</v>
      </c>
      <c r="B42" t="s">
        <v>46</v>
      </c>
      <c r="C42">
        <v>3</v>
      </c>
      <c r="E42">
        <v>17422.169999999998</v>
      </c>
      <c r="H42">
        <v>1.25</v>
      </c>
      <c r="I42" t="s">
        <v>3325</v>
      </c>
    </row>
    <row r="43" spans="1:9">
      <c r="A43" t="s">
        <v>3310</v>
      </c>
      <c r="B43" t="s">
        <v>46</v>
      </c>
      <c r="C43">
        <v>4</v>
      </c>
      <c r="E43">
        <v>17832.73</v>
      </c>
      <c r="H43">
        <v>1.35</v>
      </c>
      <c r="I43" t="s">
        <v>3326</v>
      </c>
    </row>
    <row r="44" spans="1:9">
      <c r="A44" t="s">
        <v>3327</v>
      </c>
      <c r="B44" t="s">
        <v>33</v>
      </c>
      <c r="C44">
        <v>1</v>
      </c>
      <c r="E44">
        <v>17059.82</v>
      </c>
      <c r="I44" t="s">
        <v>3328</v>
      </c>
    </row>
    <row r="45" spans="1:9">
      <c r="A45" t="s">
        <v>3327</v>
      </c>
      <c r="B45" t="s">
        <v>33</v>
      </c>
      <c r="C45">
        <v>2</v>
      </c>
      <c r="E45">
        <v>17142.72</v>
      </c>
      <c r="I45" t="s">
        <v>3329</v>
      </c>
    </row>
    <row r="46" spans="1:9">
      <c r="A46" t="s">
        <v>3327</v>
      </c>
      <c r="B46" t="s">
        <v>33</v>
      </c>
      <c r="C46">
        <v>0</v>
      </c>
      <c r="E46">
        <v>17321.52</v>
      </c>
      <c r="I46" t="s">
        <v>3330</v>
      </c>
    </row>
    <row r="47" spans="1:9">
      <c r="A47" t="s">
        <v>3307</v>
      </c>
      <c r="B47" t="s">
        <v>39</v>
      </c>
      <c r="C47">
        <v>2</v>
      </c>
      <c r="E47">
        <v>17228.419999999998</v>
      </c>
      <c r="I47" t="s">
        <v>3331</v>
      </c>
    </row>
    <row r="48" spans="1:9">
      <c r="A48" t="s">
        <v>3310</v>
      </c>
      <c r="B48" t="s">
        <v>55</v>
      </c>
      <c r="C48">
        <v>1</v>
      </c>
      <c r="E48">
        <v>17429.86</v>
      </c>
      <c r="H48">
        <v>0.42</v>
      </c>
      <c r="I48" t="s">
        <v>3332</v>
      </c>
    </row>
    <row r="49" spans="1:9">
      <c r="A49" t="s">
        <v>3310</v>
      </c>
      <c r="B49" t="s">
        <v>55</v>
      </c>
      <c r="C49">
        <v>2</v>
      </c>
      <c r="E49">
        <v>17813.64</v>
      </c>
      <c r="H49">
        <v>1.0900000000000001</v>
      </c>
      <c r="I49" t="s">
        <v>3333</v>
      </c>
    </row>
    <row r="50" spans="1:9">
      <c r="A50" t="s">
        <v>3310</v>
      </c>
      <c r="B50" t="s">
        <v>55</v>
      </c>
      <c r="C50">
        <v>3</v>
      </c>
      <c r="E50">
        <v>18243.560000000001</v>
      </c>
      <c r="H50">
        <v>1.32</v>
      </c>
      <c r="I50" t="s">
        <v>3334</v>
      </c>
    </row>
    <row r="51" spans="1:9">
      <c r="A51" t="s">
        <v>3335</v>
      </c>
      <c r="B51" t="s">
        <v>85</v>
      </c>
      <c r="C51">
        <v>2</v>
      </c>
      <c r="E51">
        <v>17511.78</v>
      </c>
      <c r="H51">
        <v>0.96</v>
      </c>
      <c r="I51" t="s">
        <v>3336</v>
      </c>
    </row>
    <row r="52" spans="1:9">
      <c r="A52" t="s">
        <v>3337</v>
      </c>
      <c r="B52" t="s">
        <v>54</v>
      </c>
      <c r="C52">
        <v>4</v>
      </c>
      <c r="E52">
        <v>17556.259999999998</v>
      </c>
      <c r="H52">
        <v>1.23</v>
      </c>
      <c r="I52" t="s">
        <v>3338</v>
      </c>
    </row>
    <row r="53" spans="1:9">
      <c r="A53" t="s">
        <v>3304</v>
      </c>
      <c r="B53" t="s">
        <v>38</v>
      </c>
      <c r="C53">
        <v>4</v>
      </c>
      <c r="E53">
        <v>17752.73</v>
      </c>
      <c r="H53">
        <v>1</v>
      </c>
      <c r="I53" t="s">
        <v>3339</v>
      </c>
    </row>
    <row r="54" spans="1:9">
      <c r="A54" t="s">
        <v>3337</v>
      </c>
      <c r="B54" t="s">
        <v>46</v>
      </c>
      <c r="C54">
        <v>5</v>
      </c>
      <c r="E54">
        <v>18276.919999999998</v>
      </c>
      <c r="H54">
        <v>1.4</v>
      </c>
      <c r="I54" t="s">
        <v>3340</v>
      </c>
    </row>
    <row r="55" spans="1:9">
      <c r="A55" t="s">
        <v>3315</v>
      </c>
      <c r="B55" t="s">
        <v>31</v>
      </c>
      <c r="C55">
        <v>5</v>
      </c>
      <c r="E55">
        <v>18738.939999999999</v>
      </c>
      <c r="H55">
        <v>1.02</v>
      </c>
      <c r="I55" t="s">
        <v>3341</v>
      </c>
    </row>
    <row r="56" spans="1:9">
      <c r="A56" t="s">
        <v>3310</v>
      </c>
      <c r="B56" t="s">
        <v>45</v>
      </c>
      <c r="C56">
        <v>0</v>
      </c>
      <c r="E56">
        <v>18976.36</v>
      </c>
      <c r="H56">
        <v>0</v>
      </c>
      <c r="I56" t="s">
        <v>3342</v>
      </c>
    </row>
    <row r="57" spans="1:9">
      <c r="A57" t="s">
        <v>3310</v>
      </c>
      <c r="B57" t="s">
        <v>45</v>
      </c>
      <c r="C57">
        <v>1</v>
      </c>
      <c r="E57">
        <v>19096.53</v>
      </c>
      <c r="H57">
        <v>1.54</v>
      </c>
      <c r="I57" t="s">
        <v>3343</v>
      </c>
    </row>
    <row r="58" spans="1:9">
      <c r="A58" t="s">
        <v>3310</v>
      </c>
      <c r="B58" t="s">
        <v>45</v>
      </c>
      <c r="C58">
        <v>2</v>
      </c>
      <c r="E58">
        <v>19323.84</v>
      </c>
      <c r="H58">
        <v>1.46</v>
      </c>
      <c r="I58" t="s">
        <v>3344</v>
      </c>
    </row>
    <row r="59" spans="1:9">
      <c r="A59" t="s">
        <v>3337</v>
      </c>
      <c r="B59" t="s">
        <v>45</v>
      </c>
      <c r="C59">
        <v>3</v>
      </c>
      <c r="E59">
        <v>19625.580000000002</v>
      </c>
      <c r="H59">
        <v>1.5</v>
      </c>
      <c r="I59" t="s">
        <v>3345</v>
      </c>
    </row>
    <row r="60" spans="1:9">
      <c r="A60" t="s">
        <v>3337</v>
      </c>
      <c r="B60" t="s">
        <v>45</v>
      </c>
      <c r="C60">
        <v>4</v>
      </c>
      <c r="E60">
        <v>19833.78</v>
      </c>
      <c r="H60">
        <v>1.49</v>
      </c>
      <c r="I60" t="s">
        <v>3346</v>
      </c>
    </row>
    <row r="61" spans="1:9">
      <c r="A61" t="s">
        <v>3310</v>
      </c>
      <c r="B61" t="s">
        <v>63</v>
      </c>
      <c r="C61">
        <v>0</v>
      </c>
      <c r="E61">
        <v>20233.97</v>
      </c>
      <c r="H61">
        <v>0</v>
      </c>
      <c r="I61" t="s">
        <v>3347</v>
      </c>
    </row>
    <row r="62" spans="1:9">
      <c r="A62" t="s">
        <v>3310</v>
      </c>
      <c r="B62" t="s">
        <v>63</v>
      </c>
      <c r="C62">
        <v>2</v>
      </c>
      <c r="E62">
        <v>20466.830000000002</v>
      </c>
      <c r="H62">
        <v>1.47</v>
      </c>
      <c r="I62" t="s">
        <v>3348</v>
      </c>
    </row>
    <row r="63" spans="1:9">
      <c r="A63" t="s">
        <v>3310</v>
      </c>
      <c r="B63" t="s">
        <v>63</v>
      </c>
      <c r="C63">
        <v>1</v>
      </c>
      <c r="E63">
        <v>20519.2</v>
      </c>
      <c r="H63">
        <v>1.51</v>
      </c>
      <c r="I63" t="s">
        <v>3349</v>
      </c>
    </row>
    <row r="64" spans="1:9">
      <c r="A64" t="s">
        <v>3310</v>
      </c>
      <c r="B64" t="s">
        <v>3350</v>
      </c>
      <c r="C64">
        <v>0</v>
      </c>
      <c r="D64" t="s">
        <v>3351</v>
      </c>
      <c r="E64">
        <v>21600</v>
      </c>
      <c r="F64" t="s">
        <v>3352</v>
      </c>
      <c r="I64" t="s">
        <v>3353</v>
      </c>
    </row>
    <row r="65" spans="1:9">
      <c r="A65" t="s">
        <v>3354</v>
      </c>
      <c r="B65" t="s">
        <v>15</v>
      </c>
      <c r="C65">
        <v>0</v>
      </c>
      <c r="E65">
        <v>21726.28</v>
      </c>
      <c r="I65" t="s">
        <v>3355</v>
      </c>
    </row>
    <row r="66" spans="1:9">
      <c r="A66" t="s">
        <v>3354</v>
      </c>
      <c r="B66" t="s">
        <v>15</v>
      </c>
      <c r="C66">
        <v>1</v>
      </c>
      <c r="E66">
        <v>21801.21</v>
      </c>
      <c r="H66">
        <v>1.57</v>
      </c>
      <c r="I66" t="s">
        <v>3356</v>
      </c>
    </row>
    <row r="67" spans="1:9">
      <c r="A67" t="s">
        <v>3354</v>
      </c>
      <c r="B67" t="s">
        <v>15</v>
      </c>
      <c r="C67">
        <v>2</v>
      </c>
      <c r="E67">
        <v>21943.74</v>
      </c>
      <c r="I67" t="s">
        <v>3355</v>
      </c>
    </row>
    <row r="68" spans="1:9">
      <c r="A68" t="s">
        <v>3354</v>
      </c>
      <c r="B68" t="s">
        <v>15</v>
      </c>
      <c r="C68">
        <v>3</v>
      </c>
      <c r="E68">
        <v>22145.31</v>
      </c>
      <c r="H68">
        <v>1.5</v>
      </c>
      <c r="I68" t="s">
        <v>3302</v>
      </c>
    </row>
    <row r="69" spans="1:9">
      <c r="A69" t="s">
        <v>3354</v>
      </c>
      <c r="B69" t="s">
        <v>15</v>
      </c>
      <c r="C69">
        <v>4</v>
      </c>
      <c r="E69">
        <v>22398</v>
      </c>
      <c r="H69">
        <v>1.49</v>
      </c>
      <c r="I69" t="s">
        <v>3356</v>
      </c>
    </row>
    <row r="70" spans="1:9">
      <c r="A70" t="s">
        <v>3310</v>
      </c>
      <c r="B70" t="s">
        <v>49</v>
      </c>
      <c r="C70">
        <v>3</v>
      </c>
      <c r="E70">
        <v>21849.33</v>
      </c>
      <c r="H70">
        <v>0.75</v>
      </c>
      <c r="I70" t="s">
        <v>3357</v>
      </c>
    </row>
    <row r="71" spans="1:9">
      <c r="A71" t="s">
        <v>3310</v>
      </c>
      <c r="B71" t="s">
        <v>49</v>
      </c>
      <c r="C71">
        <v>4</v>
      </c>
      <c r="E71">
        <v>22144.080000000002</v>
      </c>
      <c r="H71">
        <v>1.03</v>
      </c>
      <c r="I71" t="s">
        <v>3358</v>
      </c>
    </row>
    <row r="72" spans="1:9">
      <c r="A72" t="s">
        <v>3310</v>
      </c>
      <c r="B72" t="s">
        <v>49</v>
      </c>
      <c r="C72">
        <v>5</v>
      </c>
      <c r="E72">
        <v>22563.89</v>
      </c>
      <c r="H72">
        <v>1.21</v>
      </c>
      <c r="I72" t="s">
        <v>3359</v>
      </c>
    </row>
    <row r="73" spans="1:9">
      <c r="A73" t="s">
        <v>3310</v>
      </c>
      <c r="B73" t="s">
        <v>67</v>
      </c>
      <c r="C73">
        <v>1</v>
      </c>
      <c r="E73">
        <v>21974.18</v>
      </c>
      <c r="H73">
        <v>2.0099999999999998</v>
      </c>
      <c r="I73" t="s">
        <v>3360</v>
      </c>
    </row>
    <row r="74" spans="1:9">
      <c r="A74" t="s">
        <v>3310</v>
      </c>
      <c r="B74" t="s">
        <v>98</v>
      </c>
      <c r="C74">
        <v>2</v>
      </c>
      <c r="E74">
        <v>22750.53</v>
      </c>
      <c r="H74">
        <v>1.0900000000000001</v>
      </c>
      <c r="I74" t="s">
        <v>3361</v>
      </c>
    </row>
    <row r="75" spans="1:9">
      <c r="A75" t="s">
        <v>3310</v>
      </c>
      <c r="B75" t="s">
        <v>62</v>
      </c>
      <c r="C75">
        <v>1</v>
      </c>
      <c r="E75">
        <v>23018.92</v>
      </c>
      <c r="H75">
        <v>0.52</v>
      </c>
      <c r="I75" t="s">
        <v>3362</v>
      </c>
    </row>
    <row r="76" spans="1:9">
      <c r="A76" t="s">
        <v>3310</v>
      </c>
      <c r="B76" t="s">
        <v>62</v>
      </c>
      <c r="C76">
        <v>2</v>
      </c>
      <c r="E76">
        <v>23319.86</v>
      </c>
      <c r="H76">
        <v>1.1399999999999999</v>
      </c>
      <c r="I76" t="s">
        <v>3363</v>
      </c>
    </row>
    <row r="77" spans="1:9">
      <c r="A77" t="s">
        <v>3310</v>
      </c>
      <c r="B77" t="s">
        <v>62</v>
      </c>
      <c r="C77">
        <v>3</v>
      </c>
      <c r="E77">
        <v>23660.97</v>
      </c>
      <c r="H77">
        <v>1.28</v>
      </c>
      <c r="I77" t="s">
        <v>3364</v>
      </c>
    </row>
    <row r="78" spans="1:9">
      <c r="A78" t="s">
        <v>3310</v>
      </c>
      <c r="B78" t="s">
        <v>57</v>
      </c>
      <c r="C78">
        <v>2</v>
      </c>
      <c r="E78">
        <v>23085.06</v>
      </c>
      <c r="H78">
        <v>1.99</v>
      </c>
      <c r="I78" t="s">
        <v>3365</v>
      </c>
    </row>
    <row r="79" spans="1:9">
      <c r="A79" t="s">
        <v>3310</v>
      </c>
      <c r="B79" t="s">
        <v>58</v>
      </c>
      <c r="C79">
        <v>0</v>
      </c>
      <c r="E79">
        <v>23122.29</v>
      </c>
      <c r="I79" t="s">
        <v>3366</v>
      </c>
    </row>
    <row r="80" spans="1:9">
      <c r="A80" t="s">
        <v>3310</v>
      </c>
      <c r="B80" t="s">
        <v>58</v>
      </c>
      <c r="C80">
        <v>1</v>
      </c>
      <c r="E80">
        <v>23246.33</v>
      </c>
      <c r="I80" t="s">
        <v>3367</v>
      </c>
    </row>
    <row r="81" spans="1:9">
      <c r="A81" t="s">
        <v>3310</v>
      </c>
      <c r="B81" t="s">
        <v>58</v>
      </c>
      <c r="C81">
        <v>2</v>
      </c>
      <c r="E81">
        <v>23489.43</v>
      </c>
      <c r="I81" t="s">
        <v>3368</v>
      </c>
    </row>
    <row r="82" spans="1:9">
      <c r="A82" t="s">
        <v>3310</v>
      </c>
      <c r="B82" t="s">
        <v>58</v>
      </c>
      <c r="C82">
        <v>3</v>
      </c>
      <c r="E82">
        <v>23889.03</v>
      </c>
      <c r="I82" t="s">
        <v>3369</v>
      </c>
    </row>
    <row r="83" spans="1:9">
      <c r="A83" t="s">
        <v>3310</v>
      </c>
      <c r="B83" t="s">
        <v>58</v>
      </c>
      <c r="C83">
        <v>4</v>
      </c>
      <c r="E83">
        <v>24376.37</v>
      </c>
      <c r="H83">
        <v>1.45</v>
      </c>
      <c r="I83" t="s">
        <v>3370</v>
      </c>
    </row>
    <row r="84" spans="1:9">
      <c r="A84" t="s">
        <v>3310</v>
      </c>
      <c r="B84" t="s">
        <v>65</v>
      </c>
      <c r="C84">
        <v>3</v>
      </c>
      <c r="E84">
        <v>23567.119999999999</v>
      </c>
      <c r="H84">
        <v>1.08</v>
      </c>
      <c r="I84" t="s">
        <v>3371</v>
      </c>
    </row>
    <row r="85" spans="1:9">
      <c r="A85" t="s">
        <v>3310</v>
      </c>
      <c r="B85" t="s">
        <v>65</v>
      </c>
      <c r="C85">
        <v>2</v>
      </c>
      <c r="E85">
        <v>23597.47</v>
      </c>
      <c r="I85" t="s">
        <v>3372</v>
      </c>
    </row>
    <row r="86" spans="1:9">
      <c r="A86" t="s">
        <v>3310</v>
      </c>
      <c r="B86" t="s">
        <v>65</v>
      </c>
      <c r="C86">
        <v>4</v>
      </c>
      <c r="E86">
        <v>24006.3</v>
      </c>
      <c r="I86" t="s">
        <v>3373</v>
      </c>
    </row>
    <row r="87" spans="1:9">
      <c r="A87" t="s">
        <v>3310</v>
      </c>
      <c r="B87" t="s">
        <v>92</v>
      </c>
      <c r="C87">
        <v>3</v>
      </c>
      <c r="E87">
        <v>24387.52</v>
      </c>
      <c r="H87">
        <v>1.01</v>
      </c>
      <c r="I87" t="s">
        <v>3374</v>
      </c>
    </row>
    <row r="88" spans="1:9">
      <c r="A88" t="s">
        <v>3310</v>
      </c>
      <c r="B88" t="s">
        <v>59</v>
      </c>
      <c r="C88">
        <v>1</v>
      </c>
      <c r="E88">
        <v>25489.87</v>
      </c>
      <c r="I88" t="s">
        <v>3375</v>
      </c>
    </row>
    <row r="89" spans="1:9">
      <c r="A89" t="s">
        <v>3310</v>
      </c>
      <c r="B89" t="s">
        <v>59</v>
      </c>
      <c r="C89">
        <v>2</v>
      </c>
      <c r="E89">
        <v>25645.97</v>
      </c>
      <c r="I89" t="s">
        <v>3376</v>
      </c>
    </row>
    <row r="90" spans="1:9">
      <c r="A90" t="s">
        <v>3310</v>
      </c>
      <c r="B90" t="s">
        <v>59</v>
      </c>
      <c r="C90">
        <v>3</v>
      </c>
      <c r="E90">
        <v>25898.16</v>
      </c>
      <c r="H90">
        <v>1.65</v>
      </c>
      <c r="I90" t="s">
        <v>3377</v>
      </c>
    </row>
    <row r="91" spans="1:9">
      <c r="A91" t="s">
        <v>3378</v>
      </c>
      <c r="B91" t="s">
        <v>834</v>
      </c>
      <c r="C91">
        <v>2</v>
      </c>
      <c r="E91">
        <v>25630.48</v>
      </c>
      <c r="H91">
        <v>0.34</v>
      </c>
      <c r="I91" t="s">
        <v>3379</v>
      </c>
    </row>
    <row r="92" spans="1:9">
      <c r="A92" t="s">
        <v>3378</v>
      </c>
      <c r="B92" t="s">
        <v>834</v>
      </c>
      <c r="C92">
        <v>3</v>
      </c>
      <c r="E92">
        <v>25971.71</v>
      </c>
      <c r="H92">
        <v>0.93</v>
      </c>
      <c r="I92" t="s">
        <v>3380</v>
      </c>
    </row>
    <row r="93" spans="1:9">
      <c r="A93" t="s">
        <v>3378</v>
      </c>
      <c r="B93" t="s">
        <v>834</v>
      </c>
      <c r="C93">
        <v>4</v>
      </c>
      <c r="E93">
        <v>26342.53</v>
      </c>
      <c r="H93">
        <v>1.1299999999999999</v>
      </c>
      <c r="I93" t="s">
        <v>3381</v>
      </c>
    </row>
    <row r="94" spans="1:9">
      <c r="A94" t="s">
        <v>3310</v>
      </c>
      <c r="B94" t="s">
        <v>70</v>
      </c>
      <c r="C94">
        <v>3</v>
      </c>
      <c r="E94">
        <v>25729.96</v>
      </c>
      <c r="H94">
        <v>0.82</v>
      </c>
      <c r="I94" t="s">
        <v>3382</v>
      </c>
    </row>
    <row r="95" spans="1:9">
      <c r="A95" t="s">
        <v>3310</v>
      </c>
      <c r="B95" t="s">
        <v>70</v>
      </c>
      <c r="C95">
        <v>4</v>
      </c>
      <c r="E95">
        <v>26011.55</v>
      </c>
      <c r="H95">
        <v>1.05</v>
      </c>
      <c r="I95" t="s">
        <v>3383</v>
      </c>
    </row>
    <row r="96" spans="1:9">
      <c r="A96" t="s">
        <v>3310</v>
      </c>
      <c r="B96" t="s">
        <v>70</v>
      </c>
      <c r="C96">
        <v>5</v>
      </c>
      <c r="E96">
        <v>26433.72</v>
      </c>
      <c r="H96">
        <v>1.1499999999999999</v>
      </c>
      <c r="I96" t="s">
        <v>3384</v>
      </c>
    </row>
    <row r="97" spans="1:9">
      <c r="A97" t="s">
        <v>3385</v>
      </c>
      <c r="B97" t="s">
        <v>78</v>
      </c>
      <c r="C97">
        <v>2</v>
      </c>
      <c r="E97">
        <v>26061.7</v>
      </c>
      <c r="H97">
        <v>0.67</v>
      </c>
      <c r="I97" t="s">
        <v>3386</v>
      </c>
    </row>
    <row r="98" spans="1:9">
      <c r="A98" t="s">
        <v>3385</v>
      </c>
      <c r="B98" t="s">
        <v>78</v>
      </c>
      <c r="C98">
        <v>3</v>
      </c>
      <c r="E98">
        <v>26443.88</v>
      </c>
      <c r="H98">
        <v>1.06</v>
      </c>
      <c r="I98" t="s">
        <v>3387</v>
      </c>
    </row>
    <row r="99" spans="1:9">
      <c r="A99" t="s">
        <v>3385</v>
      </c>
      <c r="B99" t="s">
        <v>78</v>
      </c>
      <c r="C99">
        <v>4</v>
      </c>
      <c r="E99">
        <v>26938.42</v>
      </c>
      <c r="H99">
        <v>1.1299999999999999</v>
      </c>
      <c r="I99" t="s">
        <v>3388</v>
      </c>
    </row>
    <row r="100" spans="1:9">
      <c r="A100" t="s">
        <v>3310</v>
      </c>
      <c r="B100" t="s">
        <v>75</v>
      </c>
      <c r="C100">
        <v>1</v>
      </c>
      <c r="E100">
        <v>26154.13</v>
      </c>
      <c r="H100">
        <v>0.49</v>
      </c>
      <c r="I100" t="s">
        <v>3389</v>
      </c>
    </row>
    <row r="101" spans="1:9">
      <c r="A101" t="s">
        <v>3310</v>
      </c>
      <c r="B101" t="s">
        <v>75</v>
      </c>
      <c r="C101">
        <v>2</v>
      </c>
      <c r="E101">
        <v>26557.21</v>
      </c>
      <c r="H101">
        <v>1.1499999999999999</v>
      </c>
      <c r="I101" t="s">
        <v>3390</v>
      </c>
    </row>
    <row r="102" spans="1:9">
      <c r="A102" t="s">
        <v>3310</v>
      </c>
      <c r="B102" t="s">
        <v>75</v>
      </c>
      <c r="C102">
        <v>3</v>
      </c>
      <c r="E102">
        <v>27111.16</v>
      </c>
      <c r="H102">
        <v>1.33</v>
      </c>
      <c r="I102" t="s">
        <v>3391</v>
      </c>
    </row>
    <row r="103" spans="1:9">
      <c r="A103" t="s">
        <v>3335</v>
      </c>
      <c r="B103" t="s">
        <v>110</v>
      </c>
      <c r="C103">
        <v>3</v>
      </c>
      <c r="E103">
        <v>26226.97</v>
      </c>
      <c r="H103">
        <v>1</v>
      </c>
      <c r="I103" t="s">
        <v>3392</v>
      </c>
    </row>
    <row r="104" spans="1:9">
      <c r="A104" t="s">
        <v>3393</v>
      </c>
      <c r="B104" t="s">
        <v>834</v>
      </c>
      <c r="C104">
        <v>5</v>
      </c>
      <c r="E104">
        <v>26765.66</v>
      </c>
      <c r="H104">
        <v>1.24</v>
      </c>
      <c r="I104" t="s">
        <v>3394</v>
      </c>
    </row>
    <row r="105" spans="1:9">
      <c r="A105" t="s">
        <v>3393</v>
      </c>
      <c r="B105" t="s">
        <v>834</v>
      </c>
      <c r="C105">
        <v>6</v>
      </c>
      <c r="E105">
        <v>27214.89</v>
      </c>
      <c r="H105">
        <v>1.32</v>
      </c>
      <c r="I105" t="s">
        <v>3395</v>
      </c>
    </row>
    <row r="106" spans="1:9">
      <c r="A106" t="s">
        <v>3378</v>
      </c>
      <c r="B106" t="s">
        <v>81</v>
      </c>
      <c r="C106">
        <v>1</v>
      </c>
      <c r="E106">
        <v>26902.45</v>
      </c>
      <c r="H106">
        <v>0.5</v>
      </c>
      <c r="I106" t="s">
        <v>3396</v>
      </c>
    </row>
    <row r="107" spans="1:9">
      <c r="A107" t="s">
        <v>3378</v>
      </c>
      <c r="B107" t="s">
        <v>81</v>
      </c>
      <c r="C107">
        <v>2</v>
      </c>
      <c r="E107">
        <v>27121.96</v>
      </c>
      <c r="H107">
        <v>1.1399999999999999</v>
      </c>
      <c r="I107" t="s">
        <v>3397</v>
      </c>
    </row>
    <row r="108" spans="1:9">
      <c r="A108" t="s">
        <v>3378</v>
      </c>
      <c r="B108" t="s">
        <v>81</v>
      </c>
      <c r="C108">
        <v>3</v>
      </c>
      <c r="E108">
        <v>27482.26</v>
      </c>
      <c r="H108">
        <v>1.31</v>
      </c>
      <c r="I108" t="s">
        <v>3398</v>
      </c>
    </row>
    <row r="109" spans="1:9">
      <c r="A109" t="s">
        <v>3399</v>
      </c>
      <c r="B109" t="s">
        <v>50</v>
      </c>
      <c r="C109">
        <v>4</v>
      </c>
      <c r="E109">
        <v>26931.35</v>
      </c>
      <c r="H109">
        <v>1.1299999999999999</v>
      </c>
      <c r="I109" t="s">
        <v>3400</v>
      </c>
    </row>
    <row r="110" spans="1:9">
      <c r="A110" t="s">
        <v>3310</v>
      </c>
      <c r="B110" t="s">
        <v>72</v>
      </c>
      <c r="C110">
        <v>1</v>
      </c>
      <c r="E110">
        <v>27572.52</v>
      </c>
      <c r="H110">
        <v>1.47</v>
      </c>
      <c r="I110" t="s">
        <v>3401</v>
      </c>
    </row>
    <row r="111" spans="1:9">
      <c r="A111" t="s">
        <v>3310</v>
      </c>
      <c r="B111" t="s">
        <v>72</v>
      </c>
      <c r="C111">
        <v>0</v>
      </c>
      <c r="E111">
        <v>27600.240000000002</v>
      </c>
      <c r="H111">
        <v>0</v>
      </c>
      <c r="I111" t="s">
        <v>3402</v>
      </c>
    </row>
    <row r="112" spans="1:9">
      <c r="A112" t="s">
        <v>3310</v>
      </c>
      <c r="B112" t="s">
        <v>72</v>
      </c>
      <c r="C112">
        <v>2</v>
      </c>
      <c r="E112">
        <v>27673.35</v>
      </c>
      <c r="H112">
        <v>1.45</v>
      </c>
      <c r="I112" t="s">
        <v>3403</v>
      </c>
    </row>
    <row r="113" spans="1:9">
      <c r="A113" t="s">
        <v>3335</v>
      </c>
      <c r="B113" t="s">
        <v>116</v>
      </c>
      <c r="C113">
        <v>2</v>
      </c>
      <c r="E113">
        <v>27876.16</v>
      </c>
      <c r="H113">
        <v>0.7</v>
      </c>
      <c r="I113" t="s">
        <v>3404</v>
      </c>
    </row>
    <row r="114" spans="1:9">
      <c r="A114" t="s">
        <v>3335</v>
      </c>
      <c r="B114" t="s">
        <v>116</v>
      </c>
      <c r="C114">
        <v>3</v>
      </c>
      <c r="E114">
        <v>28157.42</v>
      </c>
      <c r="H114">
        <v>1.03</v>
      </c>
      <c r="I114" t="s">
        <v>3405</v>
      </c>
    </row>
    <row r="115" spans="1:9">
      <c r="A115" t="s">
        <v>3310</v>
      </c>
      <c r="B115" t="s">
        <v>66</v>
      </c>
      <c r="C115">
        <v>4</v>
      </c>
      <c r="E115">
        <v>27908.28</v>
      </c>
      <c r="H115">
        <v>0.78</v>
      </c>
      <c r="I115" t="s">
        <v>3406</v>
      </c>
    </row>
    <row r="116" spans="1:9">
      <c r="A116" t="s">
        <v>3310</v>
      </c>
      <c r="B116" t="s">
        <v>66</v>
      </c>
      <c r="C116">
        <v>5</v>
      </c>
      <c r="E116">
        <v>28211.82</v>
      </c>
      <c r="H116">
        <v>1</v>
      </c>
      <c r="I116" t="s">
        <v>3407</v>
      </c>
    </row>
    <row r="117" spans="1:9">
      <c r="A117" t="s">
        <v>3310</v>
      </c>
      <c r="B117" t="s">
        <v>66</v>
      </c>
      <c r="C117">
        <v>6</v>
      </c>
      <c r="E117">
        <v>28608.62</v>
      </c>
      <c r="H117">
        <v>1.18</v>
      </c>
      <c r="I117" t="s">
        <v>3408</v>
      </c>
    </row>
    <row r="118" spans="1:9">
      <c r="A118" t="s">
        <v>3399</v>
      </c>
      <c r="B118" t="s">
        <v>84</v>
      </c>
      <c r="C118">
        <v>3</v>
      </c>
      <c r="E118">
        <v>28404.26</v>
      </c>
      <c r="H118">
        <v>0.79</v>
      </c>
      <c r="I118" t="s">
        <v>3409</v>
      </c>
    </row>
    <row r="119" spans="1:9">
      <c r="A119" t="s">
        <v>3399</v>
      </c>
      <c r="B119" t="s">
        <v>84</v>
      </c>
      <c r="C119">
        <v>4</v>
      </c>
      <c r="E119">
        <v>28749.8</v>
      </c>
      <c r="H119">
        <v>1.1499999999999999</v>
      </c>
      <c r="I119" t="s">
        <v>3410</v>
      </c>
    </row>
    <row r="120" spans="1:9">
      <c r="A120" t="s">
        <v>3399</v>
      </c>
      <c r="B120" t="s">
        <v>84</v>
      </c>
      <c r="C120">
        <v>5</v>
      </c>
      <c r="E120">
        <v>29001.65</v>
      </c>
      <c r="H120">
        <v>1.21</v>
      </c>
      <c r="I120" t="s">
        <v>3411</v>
      </c>
    </row>
    <row r="121" spans="1:9">
      <c r="A121" t="s">
        <v>3378</v>
      </c>
      <c r="B121" t="s">
        <v>60</v>
      </c>
      <c r="C121">
        <v>1</v>
      </c>
      <c r="E121">
        <v>28446.92</v>
      </c>
      <c r="H121">
        <v>0</v>
      </c>
      <c r="I121" t="s">
        <v>3412</v>
      </c>
    </row>
    <row r="122" spans="1:9">
      <c r="A122" t="s">
        <v>3378</v>
      </c>
      <c r="B122" t="s">
        <v>60</v>
      </c>
      <c r="C122">
        <v>2</v>
      </c>
      <c r="E122">
        <v>28595.03</v>
      </c>
      <c r="H122">
        <v>1.03</v>
      </c>
      <c r="I122" t="s">
        <v>3412</v>
      </c>
    </row>
    <row r="123" spans="1:9">
      <c r="A123" t="s">
        <v>3378</v>
      </c>
      <c r="B123" t="s">
        <v>60</v>
      </c>
      <c r="C123">
        <v>3</v>
      </c>
      <c r="E123">
        <v>28818.02</v>
      </c>
      <c r="H123">
        <v>1.22</v>
      </c>
      <c r="I123" t="s">
        <v>3413</v>
      </c>
    </row>
    <row r="124" spans="1:9">
      <c r="A124" t="s">
        <v>3399</v>
      </c>
      <c r="B124" t="s">
        <v>116</v>
      </c>
      <c r="C124">
        <v>4</v>
      </c>
      <c r="E124">
        <v>28528.36</v>
      </c>
      <c r="H124">
        <v>1.1499999999999999</v>
      </c>
      <c r="I124" t="s">
        <v>3414</v>
      </c>
    </row>
    <row r="125" spans="1:9">
      <c r="A125" t="s">
        <v>3310</v>
      </c>
      <c r="B125" t="s">
        <v>100</v>
      </c>
      <c r="C125">
        <v>0</v>
      </c>
      <c r="E125">
        <v>28632.75</v>
      </c>
      <c r="H125">
        <v>0</v>
      </c>
      <c r="I125" t="s">
        <v>3415</v>
      </c>
    </row>
    <row r="126" spans="1:9">
      <c r="A126" t="s">
        <v>3310</v>
      </c>
      <c r="B126" t="s">
        <v>100</v>
      </c>
      <c r="C126">
        <v>1</v>
      </c>
      <c r="E126">
        <v>28709.88</v>
      </c>
      <c r="H126">
        <v>1.45</v>
      </c>
      <c r="I126" t="s">
        <v>3416</v>
      </c>
    </row>
    <row r="127" spans="1:9">
      <c r="A127" t="s">
        <v>3310</v>
      </c>
      <c r="B127" t="s">
        <v>100</v>
      </c>
      <c r="C127">
        <v>2</v>
      </c>
      <c r="E127">
        <v>28909.57</v>
      </c>
      <c r="H127">
        <v>1.5</v>
      </c>
      <c r="I127" t="s">
        <v>3417</v>
      </c>
    </row>
    <row r="128" spans="1:9">
      <c r="A128" t="s">
        <v>3310</v>
      </c>
      <c r="B128" t="s">
        <v>87</v>
      </c>
      <c r="C128">
        <v>1</v>
      </c>
      <c r="E128">
        <v>28800.51</v>
      </c>
      <c r="H128">
        <v>0.75</v>
      </c>
      <c r="I128" t="s">
        <v>3418</v>
      </c>
    </row>
    <row r="129" spans="1:9">
      <c r="A129" t="s">
        <v>3310</v>
      </c>
      <c r="B129" t="s">
        <v>87</v>
      </c>
      <c r="C129">
        <v>2</v>
      </c>
      <c r="E129">
        <v>29057.84</v>
      </c>
      <c r="H129">
        <v>1.1599999999999999</v>
      </c>
      <c r="I129" t="s">
        <v>3419</v>
      </c>
    </row>
    <row r="130" spans="1:9">
      <c r="A130" t="s">
        <v>3310</v>
      </c>
      <c r="B130" t="s">
        <v>87</v>
      </c>
      <c r="C130">
        <v>3</v>
      </c>
      <c r="E130">
        <v>29274.82</v>
      </c>
      <c r="H130">
        <v>1.31</v>
      </c>
      <c r="I130" t="s">
        <v>3420</v>
      </c>
    </row>
    <row r="131" spans="1:9">
      <c r="A131" t="s">
        <v>3310</v>
      </c>
      <c r="B131" t="s">
        <v>89</v>
      </c>
      <c r="C131">
        <v>1</v>
      </c>
      <c r="E131">
        <v>28999.46</v>
      </c>
      <c r="H131">
        <v>0.75</v>
      </c>
      <c r="I131" t="s">
        <v>3421</v>
      </c>
    </row>
    <row r="132" spans="1:9">
      <c r="A132" t="s">
        <v>3393</v>
      </c>
      <c r="B132" t="s">
        <v>60</v>
      </c>
      <c r="C132">
        <v>4</v>
      </c>
      <c r="E132">
        <v>29122.71</v>
      </c>
      <c r="H132">
        <v>1.33</v>
      </c>
      <c r="I132" t="s">
        <v>3413</v>
      </c>
    </row>
    <row r="133" spans="1:9">
      <c r="A133" t="s">
        <v>3393</v>
      </c>
      <c r="B133" t="s">
        <v>60</v>
      </c>
      <c r="C133">
        <v>5</v>
      </c>
      <c r="E133">
        <v>29535.48</v>
      </c>
      <c r="H133">
        <v>1.37</v>
      </c>
      <c r="I133" t="s">
        <v>3422</v>
      </c>
    </row>
    <row r="134" spans="1:9">
      <c r="A134" t="s">
        <v>3378</v>
      </c>
      <c r="B134" t="s">
        <v>61</v>
      </c>
      <c r="C134">
        <v>0</v>
      </c>
      <c r="E134">
        <v>29588.07</v>
      </c>
      <c r="H134">
        <v>0</v>
      </c>
      <c r="I134" t="s">
        <v>3423</v>
      </c>
    </row>
    <row r="135" spans="1:9">
      <c r="A135" t="s">
        <v>3378</v>
      </c>
      <c r="B135" t="s">
        <v>61</v>
      </c>
      <c r="C135">
        <v>1</v>
      </c>
      <c r="E135">
        <v>29677.14</v>
      </c>
      <c r="H135">
        <v>1.48</v>
      </c>
      <c r="I135" t="s">
        <v>3424</v>
      </c>
    </row>
    <row r="136" spans="1:9">
      <c r="A136" t="s">
        <v>3378</v>
      </c>
      <c r="B136" t="s">
        <v>61</v>
      </c>
      <c r="C136">
        <v>2</v>
      </c>
      <c r="E136">
        <v>29847.49</v>
      </c>
      <c r="H136">
        <v>1.57</v>
      </c>
      <c r="I136" t="s">
        <v>3425</v>
      </c>
    </row>
    <row r="137" spans="1:9">
      <c r="A137" t="s">
        <v>3393</v>
      </c>
      <c r="B137" t="s">
        <v>61</v>
      </c>
      <c r="C137">
        <v>3</v>
      </c>
      <c r="E137">
        <v>30087.33</v>
      </c>
      <c r="H137">
        <v>1.5</v>
      </c>
      <c r="I137" t="s">
        <v>3426</v>
      </c>
    </row>
    <row r="138" spans="1:9">
      <c r="A138" t="s">
        <v>3393</v>
      </c>
      <c r="B138" t="s">
        <v>61</v>
      </c>
      <c r="C138">
        <v>4</v>
      </c>
      <c r="E138">
        <v>30384.5</v>
      </c>
      <c r="H138">
        <v>1.49</v>
      </c>
      <c r="I138" t="s">
        <v>3427</v>
      </c>
    </row>
    <row r="139" spans="1:9">
      <c r="A139" t="s">
        <v>3378</v>
      </c>
      <c r="B139" t="s">
        <v>97</v>
      </c>
      <c r="C139">
        <v>3</v>
      </c>
      <c r="E139">
        <v>31326.81</v>
      </c>
      <c r="H139">
        <v>0.75</v>
      </c>
      <c r="I139" t="s">
        <v>3428</v>
      </c>
    </row>
    <row r="140" spans="1:9">
      <c r="A140" t="s">
        <v>3378</v>
      </c>
      <c r="B140" t="s">
        <v>97</v>
      </c>
      <c r="C140">
        <v>4</v>
      </c>
      <c r="E140">
        <v>31694.52</v>
      </c>
      <c r="H140">
        <v>1.04</v>
      </c>
      <c r="I140" t="s">
        <v>3429</v>
      </c>
    </row>
    <row r="141" spans="1:9">
      <c r="A141" t="s">
        <v>3378</v>
      </c>
      <c r="B141" t="s">
        <v>97</v>
      </c>
      <c r="C141">
        <v>5</v>
      </c>
      <c r="E141">
        <v>32152.16</v>
      </c>
      <c r="H141">
        <v>1.2</v>
      </c>
      <c r="I141" t="s">
        <v>3430</v>
      </c>
    </row>
    <row r="142" spans="1:9">
      <c r="A142" t="s">
        <v>3335</v>
      </c>
      <c r="B142" t="s">
        <v>127</v>
      </c>
      <c r="C142">
        <v>1</v>
      </c>
      <c r="E142">
        <v>32722.799999999999</v>
      </c>
      <c r="I142" t="s">
        <v>3431</v>
      </c>
    </row>
    <row r="143" spans="1:9">
      <c r="A143" t="s">
        <v>3310</v>
      </c>
      <c r="B143" t="s">
        <v>298</v>
      </c>
      <c r="C143">
        <v>2</v>
      </c>
      <c r="E143">
        <v>32972.300000000003</v>
      </c>
      <c r="I143" t="s">
        <v>3432</v>
      </c>
    </row>
    <row r="144" spans="1:9">
      <c r="A144" t="s">
        <v>3310</v>
      </c>
      <c r="B144" t="s">
        <v>948</v>
      </c>
      <c r="C144">
        <v>1</v>
      </c>
      <c r="E144">
        <v>33113.800000000003</v>
      </c>
      <c r="H144">
        <v>1.93</v>
      </c>
      <c r="I144" t="s">
        <v>3433</v>
      </c>
    </row>
    <row r="145" spans="1:9">
      <c r="A145" t="s">
        <v>3378</v>
      </c>
      <c r="B145" t="s">
        <v>910</v>
      </c>
      <c r="C145">
        <v>2</v>
      </c>
      <c r="E145">
        <v>33163.980000000003</v>
      </c>
      <c r="H145">
        <v>0.7</v>
      </c>
      <c r="I145" t="s">
        <v>3434</v>
      </c>
    </row>
    <row r="146" spans="1:9">
      <c r="A146" t="s">
        <v>3378</v>
      </c>
      <c r="B146" t="s">
        <v>910</v>
      </c>
      <c r="C146">
        <v>3</v>
      </c>
      <c r="E146">
        <v>33420.47</v>
      </c>
      <c r="H146">
        <v>1.06</v>
      </c>
      <c r="I146" t="s">
        <v>3435</v>
      </c>
    </row>
    <row r="147" spans="1:9">
      <c r="A147" t="s">
        <v>3378</v>
      </c>
      <c r="B147" t="s">
        <v>910</v>
      </c>
      <c r="C147">
        <v>4</v>
      </c>
      <c r="E147">
        <v>33559.339999999997</v>
      </c>
      <c r="H147">
        <v>1.24</v>
      </c>
      <c r="I147" t="s">
        <v>3436</v>
      </c>
    </row>
    <row r="148" spans="1:9">
      <c r="A148" t="s">
        <v>3310</v>
      </c>
      <c r="B148" t="s">
        <v>296</v>
      </c>
      <c r="C148">
        <v>3</v>
      </c>
      <c r="E148">
        <v>33191.86</v>
      </c>
      <c r="H148">
        <v>1.08</v>
      </c>
      <c r="I148" t="s">
        <v>3437</v>
      </c>
    </row>
    <row r="149" spans="1:9">
      <c r="A149" t="s">
        <v>3378</v>
      </c>
      <c r="B149" t="s">
        <v>102</v>
      </c>
      <c r="C149">
        <v>0</v>
      </c>
      <c r="E149">
        <v>33349.56</v>
      </c>
      <c r="H149">
        <v>0</v>
      </c>
      <c r="I149" t="s">
        <v>3438</v>
      </c>
    </row>
    <row r="150" spans="1:9">
      <c r="A150" t="s">
        <v>3378</v>
      </c>
      <c r="B150" t="s">
        <v>102</v>
      </c>
      <c r="C150">
        <v>1</v>
      </c>
      <c r="E150">
        <v>33444.870000000003</v>
      </c>
      <c r="H150">
        <v>1.52</v>
      </c>
      <c r="I150" t="s">
        <v>3439</v>
      </c>
    </row>
    <row r="151" spans="1:9">
      <c r="A151" t="s">
        <v>3378</v>
      </c>
      <c r="B151" t="s">
        <v>102</v>
      </c>
      <c r="C151">
        <v>2</v>
      </c>
      <c r="E151">
        <v>33632.480000000003</v>
      </c>
      <c r="H151">
        <v>1.51</v>
      </c>
      <c r="I151" t="s">
        <v>3438</v>
      </c>
    </row>
    <row r="152" spans="1:9">
      <c r="A152" t="s">
        <v>3378</v>
      </c>
      <c r="B152" t="s">
        <v>102</v>
      </c>
      <c r="C152">
        <v>3</v>
      </c>
      <c r="E152">
        <v>33912.089999999997</v>
      </c>
      <c r="H152">
        <v>1.49</v>
      </c>
      <c r="I152" t="s">
        <v>3440</v>
      </c>
    </row>
    <row r="153" spans="1:9">
      <c r="A153" t="s">
        <v>3378</v>
      </c>
      <c r="B153" t="s">
        <v>102</v>
      </c>
      <c r="C153">
        <v>4</v>
      </c>
      <c r="E153">
        <v>34287.49</v>
      </c>
      <c r="H153">
        <v>1.51</v>
      </c>
      <c r="I153" t="s">
        <v>3441</v>
      </c>
    </row>
    <row r="154" spans="1:9">
      <c r="A154" t="s">
        <v>3378</v>
      </c>
      <c r="B154" t="s">
        <v>94</v>
      </c>
      <c r="C154">
        <v>1</v>
      </c>
      <c r="E154">
        <v>33486.82</v>
      </c>
      <c r="H154">
        <v>0.62</v>
      </c>
      <c r="I154" t="s">
        <v>3442</v>
      </c>
    </row>
    <row r="155" spans="1:9">
      <c r="A155" t="s">
        <v>3378</v>
      </c>
      <c r="B155" t="s">
        <v>94</v>
      </c>
      <c r="C155">
        <v>2</v>
      </c>
      <c r="E155">
        <v>33764.120000000003</v>
      </c>
      <c r="H155">
        <v>1.1000000000000001</v>
      </c>
      <c r="I155" t="s">
        <v>3443</v>
      </c>
    </row>
    <row r="156" spans="1:9">
      <c r="A156" t="s">
        <v>3378</v>
      </c>
      <c r="B156" t="s">
        <v>94</v>
      </c>
      <c r="C156">
        <v>3</v>
      </c>
      <c r="E156">
        <v>34239.82</v>
      </c>
      <c r="H156">
        <v>1.35</v>
      </c>
      <c r="I156" t="s">
        <v>3444</v>
      </c>
    </row>
    <row r="157" spans="1:9">
      <c r="A157" t="s">
        <v>3310</v>
      </c>
      <c r="B157" t="s">
        <v>307</v>
      </c>
      <c r="C157">
        <v>4</v>
      </c>
      <c r="E157">
        <v>33688.230000000003</v>
      </c>
      <c r="F157" t="s">
        <v>34</v>
      </c>
      <c r="H157">
        <v>1.08</v>
      </c>
      <c r="I157" t="s">
        <v>3445</v>
      </c>
    </row>
    <row r="158" spans="1:9">
      <c r="A158" t="s">
        <v>3378</v>
      </c>
      <c r="B158" t="s">
        <v>74</v>
      </c>
      <c r="C158">
        <v>5</v>
      </c>
      <c r="E158">
        <v>33839.199999999997</v>
      </c>
      <c r="F158" t="s">
        <v>34</v>
      </c>
      <c r="H158">
        <v>1.03</v>
      </c>
      <c r="I158" t="s">
        <v>3446</v>
      </c>
    </row>
    <row r="159" spans="1:9">
      <c r="A159" t="s">
        <v>3378</v>
      </c>
      <c r="B159" t="s">
        <v>95</v>
      </c>
      <c r="C159">
        <v>4</v>
      </c>
      <c r="E159">
        <v>34450.6</v>
      </c>
      <c r="H159">
        <v>0.8</v>
      </c>
      <c r="I159" t="s">
        <v>3447</v>
      </c>
    </row>
    <row r="160" spans="1:9">
      <c r="A160" t="s">
        <v>3378</v>
      </c>
      <c r="B160" t="s">
        <v>95</v>
      </c>
      <c r="C160">
        <v>5</v>
      </c>
      <c r="E160">
        <v>34705.9</v>
      </c>
      <c r="H160">
        <v>1.02</v>
      </c>
      <c r="I160" t="s">
        <v>3448</v>
      </c>
    </row>
    <row r="161" spans="1:9">
      <c r="A161" t="s">
        <v>3378</v>
      </c>
      <c r="B161" t="s">
        <v>95</v>
      </c>
      <c r="C161">
        <v>6</v>
      </c>
      <c r="E161">
        <v>35135.07</v>
      </c>
      <c r="H161">
        <v>1.1599999999999999</v>
      </c>
      <c r="I161" t="s">
        <v>3449</v>
      </c>
    </row>
    <row r="162" spans="1:9">
      <c r="A162" t="s">
        <v>3378</v>
      </c>
      <c r="B162" t="s">
        <v>68</v>
      </c>
      <c r="C162">
        <v>1</v>
      </c>
      <c r="E162">
        <v>34617</v>
      </c>
      <c r="H162">
        <v>2.46</v>
      </c>
      <c r="I162" t="s">
        <v>3450</v>
      </c>
    </row>
    <row r="163" spans="1:9">
      <c r="A163" t="s">
        <v>3378</v>
      </c>
      <c r="B163" t="s">
        <v>68</v>
      </c>
      <c r="C163">
        <v>2</v>
      </c>
      <c r="E163">
        <v>34761.519999999997</v>
      </c>
      <c r="H163">
        <v>1.42</v>
      </c>
      <c r="I163" t="s">
        <v>3451</v>
      </c>
    </row>
    <row r="164" spans="1:9">
      <c r="A164" t="s">
        <v>3378</v>
      </c>
      <c r="B164" t="s">
        <v>68</v>
      </c>
      <c r="C164">
        <v>3</v>
      </c>
      <c r="E164">
        <v>35090.9</v>
      </c>
      <c r="H164">
        <v>1.66</v>
      </c>
      <c r="I164" t="s">
        <v>3451</v>
      </c>
    </row>
    <row r="165" spans="1:9">
      <c r="A165" t="s">
        <v>3378</v>
      </c>
      <c r="B165" t="s">
        <v>933</v>
      </c>
      <c r="C165">
        <v>2</v>
      </c>
      <c r="E165">
        <v>34850.959999999999</v>
      </c>
      <c r="F165" t="s">
        <v>34</v>
      </c>
      <c r="H165">
        <v>1.42</v>
      </c>
      <c r="I165" t="s">
        <v>3452</v>
      </c>
    </row>
    <row r="166" spans="1:9">
      <c r="A166" t="s">
        <v>3378</v>
      </c>
      <c r="B166" t="s">
        <v>901</v>
      </c>
      <c r="C166">
        <v>0</v>
      </c>
      <c r="D166" t="s">
        <v>3351</v>
      </c>
      <c r="E166">
        <v>34995</v>
      </c>
      <c r="F166" t="s">
        <v>3352</v>
      </c>
      <c r="I166" t="s">
        <v>3453</v>
      </c>
    </row>
    <row r="167" spans="1:9">
      <c r="A167" t="s">
        <v>3378</v>
      </c>
      <c r="B167" t="s">
        <v>901</v>
      </c>
      <c r="C167">
        <v>1</v>
      </c>
      <c r="E167">
        <v>35205.519999999997</v>
      </c>
      <c r="I167" t="s">
        <v>3454</v>
      </c>
    </row>
    <row r="168" spans="1:9">
      <c r="A168" t="s">
        <v>3378</v>
      </c>
      <c r="B168" t="s">
        <v>901</v>
      </c>
      <c r="C168">
        <v>2</v>
      </c>
      <c r="E168">
        <v>35456.25</v>
      </c>
      <c r="H168">
        <v>1.45</v>
      </c>
      <c r="I168" t="s">
        <v>3455</v>
      </c>
    </row>
    <row r="169" spans="1:9">
      <c r="A169" t="s">
        <v>3456</v>
      </c>
      <c r="B169" t="s">
        <v>80</v>
      </c>
      <c r="C169">
        <v>1</v>
      </c>
      <c r="E169">
        <v>35046.949999999997</v>
      </c>
      <c r="I169" t="s">
        <v>3302</v>
      </c>
    </row>
    <row r="170" spans="1:9">
      <c r="A170" t="s">
        <v>3456</v>
      </c>
      <c r="B170" t="s">
        <v>80</v>
      </c>
      <c r="C170">
        <v>2</v>
      </c>
      <c r="E170">
        <v>35210.300000000003</v>
      </c>
      <c r="H170">
        <v>1.26</v>
      </c>
      <c r="I170" t="s">
        <v>3302</v>
      </c>
    </row>
    <row r="171" spans="1:9">
      <c r="A171" t="s">
        <v>3456</v>
      </c>
      <c r="B171" t="s">
        <v>80</v>
      </c>
      <c r="C171">
        <v>3</v>
      </c>
      <c r="E171">
        <v>35476.07</v>
      </c>
      <c r="H171">
        <v>1.23</v>
      </c>
      <c r="I171" t="s">
        <v>3302</v>
      </c>
    </row>
    <row r="172" spans="1:9">
      <c r="A172" t="s">
        <v>3456</v>
      </c>
      <c r="B172" t="s">
        <v>80</v>
      </c>
      <c r="C172">
        <v>4</v>
      </c>
      <c r="E172">
        <v>35860.83</v>
      </c>
      <c r="H172">
        <v>1.35</v>
      </c>
      <c r="I172" t="s">
        <v>3302</v>
      </c>
    </row>
    <row r="173" spans="1:9">
      <c r="A173" t="s">
        <v>3456</v>
      </c>
      <c r="B173" t="s">
        <v>80</v>
      </c>
      <c r="C173">
        <v>5</v>
      </c>
      <c r="E173">
        <v>36360.199999999997</v>
      </c>
      <c r="H173">
        <v>1.4</v>
      </c>
      <c r="I173" t="s">
        <v>3302</v>
      </c>
    </row>
    <row r="174" spans="1:9">
      <c r="A174" t="s">
        <v>3310</v>
      </c>
      <c r="B174" t="s">
        <v>917</v>
      </c>
      <c r="C174">
        <v>2</v>
      </c>
      <c r="E174">
        <v>35514.53</v>
      </c>
      <c r="H174">
        <v>0.69</v>
      </c>
      <c r="I174" t="s">
        <v>3457</v>
      </c>
    </row>
    <row r="175" spans="1:9">
      <c r="A175" t="s">
        <v>3310</v>
      </c>
      <c r="B175" t="s">
        <v>917</v>
      </c>
      <c r="C175">
        <v>3</v>
      </c>
      <c r="E175">
        <v>35805.629999999997</v>
      </c>
      <c r="H175">
        <v>1</v>
      </c>
      <c r="I175" t="s">
        <v>3458</v>
      </c>
    </row>
    <row r="176" spans="1:9">
      <c r="A176" t="s">
        <v>3310</v>
      </c>
      <c r="B176" t="s">
        <v>917</v>
      </c>
      <c r="C176">
        <v>4</v>
      </c>
      <c r="E176">
        <v>36001.35</v>
      </c>
      <c r="H176">
        <v>1.22</v>
      </c>
      <c r="I176" t="s">
        <v>3459</v>
      </c>
    </row>
    <row r="177" spans="1:9">
      <c r="A177" t="s">
        <v>3378</v>
      </c>
      <c r="B177" t="s">
        <v>83</v>
      </c>
      <c r="C177">
        <v>5</v>
      </c>
      <c r="E177">
        <v>35781.67</v>
      </c>
      <c r="H177">
        <v>0.82</v>
      </c>
      <c r="I177" t="s">
        <v>3460</v>
      </c>
    </row>
    <row r="178" spans="1:9">
      <c r="A178" t="s">
        <v>3378</v>
      </c>
      <c r="B178" t="s">
        <v>83</v>
      </c>
      <c r="C178">
        <v>7</v>
      </c>
      <c r="E178">
        <v>36152.85</v>
      </c>
      <c r="H178">
        <v>1.1299999999999999</v>
      </c>
      <c r="I178">
        <v>100</v>
      </c>
    </row>
    <row r="179" spans="1:9">
      <c r="A179" t="s">
        <v>3378</v>
      </c>
      <c r="B179" t="s">
        <v>83</v>
      </c>
      <c r="C179">
        <v>6</v>
      </c>
      <c r="E179">
        <v>36173.03</v>
      </c>
      <c r="H179">
        <v>1.02</v>
      </c>
      <c r="I179" t="s">
        <v>3461</v>
      </c>
    </row>
    <row r="180" spans="1:9">
      <c r="A180" t="s">
        <v>3378</v>
      </c>
      <c r="B180" t="s">
        <v>108</v>
      </c>
      <c r="C180">
        <v>2</v>
      </c>
      <c r="E180">
        <v>35990.21</v>
      </c>
      <c r="H180">
        <v>2.0099999999999998</v>
      </c>
      <c r="I180" t="s">
        <v>3462</v>
      </c>
    </row>
    <row r="181" spans="1:9">
      <c r="A181" t="s">
        <v>3310</v>
      </c>
      <c r="B181" t="s">
        <v>117</v>
      </c>
      <c r="C181">
        <v>1</v>
      </c>
      <c r="E181">
        <v>36125.160000000003</v>
      </c>
      <c r="H181">
        <v>0.45</v>
      </c>
      <c r="I181" t="s">
        <v>3463</v>
      </c>
    </row>
    <row r="182" spans="1:9">
      <c r="A182" t="s">
        <v>3310</v>
      </c>
      <c r="B182" t="s">
        <v>117</v>
      </c>
      <c r="C182">
        <v>3</v>
      </c>
      <c r="E182">
        <v>36220.449999999997</v>
      </c>
      <c r="H182">
        <v>1.28</v>
      </c>
      <c r="I182" t="s">
        <v>3464</v>
      </c>
    </row>
    <row r="183" spans="1:9">
      <c r="A183" t="s">
        <v>3310</v>
      </c>
      <c r="B183" t="s">
        <v>117</v>
      </c>
      <c r="C183">
        <v>2</v>
      </c>
      <c r="E183">
        <v>36294.870000000003</v>
      </c>
      <c r="H183">
        <v>1.1599999999999999</v>
      </c>
      <c r="I183" t="s">
        <v>3465</v>
      </c>
    </row>
    <row r="184" spans="1:9">
      <c r="A184" t="s">
        <v>3378</v>
      </c>
      <c r="B184" t="s">
        <v>113</v>
      </c>
      <c r="C184">
        <v>4</v>
      </c>
      <c r="E184">
        <v>36336.480000000003</v>
      </c>
      <c r="H184">
        <v>1.1499999999999999</v>
      </c>
      <c r="I184" t="s">
        <v>3466</v>
      </c>
    </row>
    <row r="185" spans="1:9">
      <c r="A185" t="s">
        <v>3378</v>
      </c>
      <c r="B185" t="s">
        <v>931</v>
      </c>
      <c r="C185">
        <v>5</v>
      </c>
      <c r="E185">
        <v>36597.480000000003</v>
      </c>
      <c r="H185">
        <v>1.04</v>
      </c>
      <c r="I185" t="s">
        <v>3467</v>
      </c>
    </row>
    <row r="186" spans="1:9">
      <c r="A186" t="s">
        <v>3378</v>
      </c>
      <c r="B186" t="s">
        <v>931</v>
      </c>
      <c r="C186">
        <v>4</v>
      </c>
      <c r="E186">
        <v>36608.410000000003</v>
      </c>
      <c r="H186">
        <v>0.82</v>
      </c>
      <c r="I186" t="s">
        <v>3468</v>
      </c>
    </row>
    <row r="187" spans="1:9">
      <c r="A187" t="s">
        <v>3378</v>
      </c>
      <c r="B187" t="s">
        <v>931</v>
      </c>
      <c r="C187">
        <v>6</v>
      </c>
      <c r="E187">
        <v>36840.589999999997</v>
      </c>
      <c r="H187">
        <v>1.1299999999999999</v>
      </c>
      <c r="I187" t="s">
        <v>3469</v>
      </c>
    </row>
    <row r="188" spans="1:9">
      <c r="A188" t="s">
        <v>3378</v>
      </c>
      <c r="B188" t="s">
        <v>939</v>
      </c>
      <c r="C188">
        <v>3</v>
      </c>
      <c r="E188">
        <v>36759.9</v>
      </c>
      <c r="H188">
        <v>0.87</v>
      </c>
      <c r="I188" t="s">
        <v>3470</v>
      </c>
    </row>
    <row r="189" spans="1:9">
      <c r="A189" t="s">
        <v>3378</v>
      </c>
      <c r="B189" t="s">
        <v>189</v>
      </c>
      <c r="C189">
        <v>3</v>
      </c>
      <c r="E189">
        <v>36941.65</v>
      </c>
      <c r="H189">
        <v>0.87</v>
      </c>
      <c r="I189" t="s">
        <v>3471</v>
      </c>
    </row>
    <row r="190" spans="1:9">
      <c r="A190" t="s">
        <v>3378</v>
      </c>
      <c r="B190" t="s">
        <v>189</v>
      </c>
      <c r="C190">
        <v>4</v>
      </c>
      <c r="E190">
        <v>37229.54</v>
      </c>
      <c r="H190">
        <v>1.02</v>
      </c>
      <c r="I190" t="s">
        <v>3472</v>
      </c>
    </row>
    <row r="191" spans="1:9">
      <c r="A191" t="s">
        <v>3378</v>
      </c>
      <c r="B191" t="s">
        <v>189</v>
      </c>
      <c r="C191">
        <v>5</v>
      </c>
      <c r="E191">
        <v>37422.36</v>
      </c>
      <c r="H191">
        <v>1.18</v>
      </c>
      <c r="I191" t="s">
        <v>3473</v>
      </c>
    </row>
    <row r="192" spans="1:9">
      <c r="A192" t="s">
        <v>3378</v>
      </c>
      <c r="B192" t="s">
        <v>303</v>
      </c>
      <c r="C192">
        <v>1</v>
      </c>
      <c r="E192">
        <v>36970.65</v>
      </c>
      <c r="I192" t="s">
        <v>3474</v>
      </c>
    </row>
    <row r="193" spans="1:9">
      <c r="A193" t="s">
        <v>3378</v>
      </c>
      <c r="B193" t="s">
        <v>956</v>
      </c>
      <c r="C193">
        <v>2</v>
      </c>
      <c r="E193">
        <v>37123.42</v>
      </c>
      <c r="H193">
        <v>0.71</v>
      </c>
      <c r="I193" t="s">
        <v>3475</v>
      </c>
    </row>
    <row r="194" spans="1:9">
      <c r="A194" t="s">
        <v>3378</v>
      </c>
      <c r="B194" t="s">
        <v>956</v>
      </c>
      <c r="C194">
        <v>3</v>
      </c>
      <c r="E194">
        <v>37468.870000000003</v>
      </c>
      <c r="H194">
        <v>1.1100000000000001</v>
      </c>
      <c r="I194" t="s">
        <v>3476</v>
      </c>
    </row>
    <row r="195" spans="1:9">
      <c r="A195" t="s">
        <v>3378</v>
      </c>
      <c r="B195" t="s">
        <v>956</v>
      </c>
      <c r="C195">
        <v>4</v>
      </c>
      <c r="E195">
        <v>37920.959999999999</v>
      </c>
      <c r="H195">
        <v>1.26</v>
      </c>
      <c r="I195" t="s">
        <v>3477</v>
      </c>
    </row>
    <row r="196" spans="1:9">
      <c r="A196" t="s">
        <v>3378</v>
      </c>
      <c r="B196" t="s">
        <v>282</v>
      </c>
      <c r="C196">
        <v>2</v>
      </c>
      <c r="E196">
        <v>37450.230000000003</v>
      </c>
      <c r="F196" t="s">
        <v>34</v>
      </c>
      <c r="I196" t="s">
        <v>3478</v>
      </c>
    </row>
    <row r="197" spans="1:9">
      <c r="A197" t="s">
        <v>3378</v>
      </c>
      <c r="B197" t="s">
        <v>282</v>
      </c>
      <c r="C197">
        <v>1</v>
      </c>
      <c r="D197" t="s">
        <v>3351</v>
      </c>
      <c r="E197">
        <v>38140</v>
      </c>
      <c r="F197" t="s">
        <v>3352</v>
      </c>
      <c r="I197" t="s">
        <v>3479</v>
      </c>
    </row>
    <row r="198" spans="1:9">
      <c r="A198" t="s">
        <v>3456</v>
      </c>
      <c r="B198" t="s">
        <v>86</v>
      </c>
      <c r="C198">
        <v>2</v>
      </c>
      <c r="E198">
        <v>37459.599999999999</v>
      </c>
      <c r="I198" t="s">
        <v>3302</v>
      </c>
    </row>
    <row r="199" spans="1:9">
      <c r="A199" t="s">
        <v>3456</v>
      </c>
      <c r="B199" t="s">
        <v>86</v>
      </c>
      <c r="C199">
        <v>3</v>
      </c>
      <c r="E199">
        <v>37701.08</v>
      </c>
      <c r="H199">
        <v>1.02</v>
      </c>
      <c r="I199" t="s">
        <v>3302</v>
      </c>
    </row>
    <row r="200" spans="1:9">
      <c r="A200" t="s">
        <v>3456</v>
      </c>
      <c r="B200" t="s">
        <v>86</v>
      </c>
      <c r="C200">
        <v>4</v>
      </c>
      <c r="E200">
        <v>38101.089999999997</v>
      </c>
      <c r="H200">
        <v>1.25</v>
      </c>
      <c r="I200" t="s">
        <v>3302</v>
      </c>
    </row>
    <row r="201" spans="1:9">
      <c r="A201" t="s">
        <v>3378</v>
      </c>
      <c r="B201" t="s">
        <v>140</v>
      </c>
      <c r="C201">
        <v>1</v>
      </c>
      <c r="E201">
        <v>38270.81</v>
      </c>
      <c r="I201" t="s">
        <v>3480</v>
      </c>
    </row>
    <row r="202" spans="1:9">
      <c r="A202" t="s">
        <v>3378</v>
      </c>
      <c r="B202" t="s">
        <v>140</v>
      </c>
      <c r="C202">
        <v>2</v>
      </c>
      <c r="E202">
        <v>38326.720000000001</v>
      </c>
      <c r="H202">
        <v>1.41</v>
      </c>
      <c r="I202" t="s">
        <v>3481</v>
      </c>
    </row>
    <row r="203" spans="1:9">
      <c r="A203" t="s">
        <v>3378</v>
      </c>
      <c r="B203" t="s">
        <v>140</v>
      </c>
      <c r="C203">
        <v>3</v>
      </c>
      <c r="E203">
        <v>38435.879999999997</v>
      </c>
      <c r="H203">
        <v>1</v>
      </c>
      <c r="I203" t="s">
        <v>3482</v>
      </c>
    </row>
    <row r="204" spans="1:9">
      <c r="A204" t="s">
        <v>3378</v>
      </c>
      <c r="B204" t="s">
        <v>88</v>
      </c>
      <c r="C204">
        <v>6</v>
      </c>
      <c r="E204">
        <v>38475.82</v>
      </c>
      <c r="I204" t="s">
        <v>3483</v>
      </c>
    </row>
    <row r="205" spans="1:9">
      <c r="A205" t="s">
        <v>3378</v>
      </c>
      <c r="B205" t="s">
        <v>978</v>
      </c>
      <c r="C205">
        <v>2</v>
      </c>
      <c r="E205">
        <v>38566</v>
      </c>
      <c r="I205" t="s">
        <v>3484</v>
      </c>
    </row>
    <row r="206" spans="1:9">
      <c r="A206" t="s">
        <v>3378</v>
      </c>
      <c r="B206" t="s">
        <v>978</v>
      </c>
      <c r="C206">
        <v>3</v>
      </c>
      <c r="E206">
        <v>38881.800000000003</v>
      </c>
      <c r="H206">
        <v>1.26</v>
      </c>
      <c r="I206" t="s">
        <v>3485</v>
      </c>
    </row>
    <row r="207" spans="1:9">
      <c r="A207" t="s">
        <v>3378</v>
      </c>
      <c r="B207" t="s">
        <v>978</v>
      </c>
      <c r="C207">
        <v>4</v>
      </c>
      <c r="E207">
        <v>39174.44</v>
      </c>
      <c r="I207" t="s">
        <v>3486</v>
      </c>
    </row>
    <row r="208" spans="1:9">
      <c r="A208" t="s">
        <v>3487</v>
      </c>
      <c r="B208" t="s">
        <v>2046</v>
      </c>
      <c r="C208">
        <v>3</v>
      </c>
      <c r="E208">
        <v>39389.29</v>
      </c>
      <c r="I208" t="s">
        <v>3488</v>
      </c>
    </row>
    <row r="209" spans="1:9">
      <c r="A209" t="s">
        <v>3487</v>
      </c>
      <c r="B209" t="s">
        <v>2046</v>
      </c>
      <c r="C209">
        <v>4</v>
      </c>
      <c r="E209">
        <v>39934.14</v>
      </c>
      <c r="H209">
        <v>1.05</v>
      </c>
      <c r="I209" t="s">
        <v>3489</v>
      </c>
    </row>
    <row r="210" spans="1:9">
      <c r="A210" t="s">
        <v>3487</v>
      </c>
      <c r="B210" t="s">
        <v>2046</v>
      </c>
      <c r="C210">
        <v>5</v>
      </c>
      <c r="E210">
        <v>40178.44</v>
      </c>
      <c r="H210">
        <v>1.1299999999999999</v>
      </c>
      <c r="I210" t="s">
        <v>3490</v>
      </c>
    </row>
    <row r="211" spans="1:9">
      <c r="A211" t="s">
        <v>3378</v>
      </c>
      <c r="B211" t="s">
        <v>928</v>
      </c>
      <c r="C211">
        <v>1</v>
      </c>
      <c r="E211">
        <v>39704.1</v>
      </c>
      <c r="I211" t="s">
        <v>3491</v>
      </c>
    </row>
    <row r="212" spans="1:9">
      <c r="A212" t="s">
        <v>3378</v>
      </c>
      <c r="B212" t="s">
        <v>944</v>
      </c>
      <c r="C212">
        <v>2</v>
      </c>
      <c r="E212">
        <v>39766.47</v>
      </c>
      <c r="I212" t="s">
        <v>3302</v>
      </c>
    </row>
    <row r="213" spans="1:9">
      <c r="A213" t="s">
        <v>3378</v>
      </c>
      <c r="B213" t="s">
        <v>944</v>
      </c>
      <c r="C213">
        <v>3</v>
      </c>
      <c r="E213">
        <v>40346.35</v>
      </c>
      <c r="H213">
        <v>1.29</v>
      </c>
      <c r="I213" t="s">
        <v>3302</v>
      </c>
    </row>
    <row r="214" spans="1:9">
      <c r="A214" t="s">
        <v>3378</v>
      </c>
      <c r="B214" t="s">
        <v>960</v>
      </c>
      <c r="C214">
        <v>3</v>
      </c>
      <c r="E214">
        <v>39803.730000000003</v>
      </c>
      <c r="I214" t="s">
        <v>3492</v>
      </c>
    </row>
    <row r="215" spans="1:9">
      <c r="A215" t="s">
        <v>3378</v>
      </c>
      <c r="B215" t="s">
        <v>96</v>
      </c>
      <c r="C215">
        <v>5</v>
      </c>
      <c r="E215">
        <v>39855.22</v>
      </c>
      <c r="H215">
        <v>1.02</v>
      </c>
      <c r="I215" t="s">
        <v>3493</v>
      </c>
    </row>
    <row r="216" spans="1:9">
      <c r="A216" t="s">
        <v>3494</v>
      </c>
      <c r="B216" t="s">
        <v>964</v>
      </c>
      <c r="C216">
        <v>3</v>
      </c>
      <c r="I216" t="s">
        <v>3302</v>
      </c>
    </row>
    <row r="217" spans="1:9">
      <c r="A217" t="s">
        <v>3494</v>
      </c>
      <c r="B217" t="s">
        <v>964</v>
      </c>
      <c r="C217">
        <v>4</v>
      </c>
      <c r="E217">
        <v>39936.699999999997</v>
      </c>
      <c r="I217" t="s">
        <v>3302</v>
      </c>
    </row>
    <row r="218" spans="1:9">
      <c r="A218" t="s">
        <v>3494</v>
      </c>
      <c r="B218" t="s">
        <v>964</v>
      </c>
      <c r="C218">
        <v>5</v>
      </c>
      <c r="E218">
        <v>40637.050000000003</v>
      </c>
      <c r="H218">
        <v>1.07</v>
      </c>
      <c r="I218" t="s">
        <v>3302</v>
      </c>
    </row>
    <row r="219" spans="1:9">
      <c r="A219" t="s">
        <v>3494</v>
      </c>
      <c r="B219" t="s">
        <v>964</v>
      </c>
      <c r="C219">
        <v>6</v>
      </c>
      <c r="E219">
        <v>41443.53</v>
      </c>
      <c r="I219" t="s">
        <v>3302</v>
      </c>
    </row>
    <row r="220" spans="1:9">
      <c r="A220" t="s">
        <v>3494</v>
      </c>
      <c r="B220" t="s">
        <v>964</v>
      </c>
      <c r="C220">
        <v>7</v>
      </c>
      <c r="E220">
        <v>42086.82</v>
      </c>
      <c r="H220">
        <v>1.36</v>
      </c>
      <c r="I220" t="s">
        <v>3302</v>
      </c>
    </row>
    <row r="221" spans="1:9">
      <c r="A221" t="s">
        <v>3310</v>
      </c>
      <c r="B221" t="s">
        <v>2122</v>
      </c>
      <c r="C221">
        <v>0</v>
      </c>
      <c r="E221">
        <v>40536.379999999997</v>
      </c>
      <c r="I221" t="s">
        <v>3302</v>
      </c>
    </row>
    <row r="222" spans="1:9">
      <c r="A222" t="s">
        <v>3310</v>
      </c>
      <c r="B222" t="s">
        <v>2122</v>
      </c>
      <c r="C222">
        <v>1</v>
      </c>
      <c r="E222">
        <v>40973.94</v>
      </c>
      <c r="I222" t="s">
        <v>3495</v>
      </c>
    </row>
    <row r="223" spans="1:9">
      <c r="A223" t="s">
        <v>3310</v>
      </c>
      <c r="B223" t="s">
        <v>2122</v>
      </c>
      <c r="C223">
        <v>2</v>
      </c>
      <c r="E223">
        <v>41787.620000000003</v>
      </c>
      <c r="I223" t="s">
        <v>3302</v>
      </c>
    </row>
    <row r="224" spans="1:9">
      <c r="A224" t="s">
        <v>3496</v>
      </c>
      <c r="B224" t="s">
        <v>3497</v>
      </c>
      <c r="C224">
        <v>2</v>
      </c>
      <c r="E224">
        <v>40557.65</v>
      </c>
      <c r="I224" t="s">
        <v>3302</v>
      </c>
    </row>
    <row r="225" spans="1:9">
      <c r="A225" t="s">
        <v>3498</v>
      </c>
      <c r="B225" t="s">
        <v>132</v>
      </c>
      <c r="C225">
        <v>1</v>
      </c>
      <c r="I225" t="s">
        <v>3302</v>
      </c>
    </row>
    <row r="226" spans="1:9">
      <c r="A226" t="s">
        <v>3498</v>
      </c>
      <c r="B226" t="s">
        <v>132</v>
      </c>
      <c r="C226">
        <v>2</v>
      </c>
      <c r="I226" t="s">
        <v>3302</v>
      </c>
    </row>
    <row r="227" spans="1:9">
      <c r="A227" t="s">
        <v>3498</v>
      </c>
      <c r="B227" t="s">
        <v>132</v>
      </c>
      <c r="C227">
        <v>3</v>
      </c>
      <c r="E227">
        <v>40653.410000000003</v>
      </c>
      <c r="I227" t="s">
        <v>3302</v>
      </c>
    </row>
    <row r="228" spans="1:9">
      <c r="A228" t="s">
        <v>3498</v>
      </c>
      <c r="B228" t="s">
        <v>132</v>
      </c>
      <c r="C228">
        <v>4</v>
      </c>
      <c r="E228">
        <v>40849.699999999997</v>
      </c>
      <c r="I228" t="s">
        <v>3302</v>
      </c>
    </row>
    <row r="229" spans="1:9">
      <c r="A229" t="s">
        <v>3498</v>
      </c>
      <c r="B229" t="s">
        <v>132</v>
      </c>
      <c r="C229">
        <v>5</v>
      </c>
      <c r="E229">
        <v>41068</v>
      </c>
      <c r="I229" t="s">
        <v>3302</v>
      </c>
    </row>
    <row r="230" spans="1:9">
      <c r="A230" t="s">
        <v>3494</v>
      </c>
      <c r="B230" t="s">
        <v>134</v>
      </c>
      <c r="C230">
        <v>2</v>
      </c>
      <c r="E230">
        <v>40660.65</v>
      </c>
      <c r="I230" t="s">
        <v>3302</v>
      </c>
    </row>
    <row r="231" spans="1:9">
      <c r="A231" t="s">
        <v>3494</v>
      </c>
      <c r="B231" t="s">
        <v>134</v>
      </c>
      <c r="C231">
        <v>3</v>
      </c>
      <c r="E231">
        <v>40887.61</v>
      </c>
      <c r="H231">
        <v>1.0900000000000001</v>
      </c>
      <c r="I231" t="s">
        <v>3302</v>
      </c>
    </row>
    <row r="232" spans="1:9">
      <c r="A232" t="s">
        <v>3494</v>
      </c>
      <c r="B232" t="s">
        <v>134</v>
      </c>
      <c r="C232">
        <v>4</v>
      </c>
      <c r="E232">
        <v>41179.300000000003</v>
      </c>
      <c r="H232">
        <v>1.07</v>
      </c>
      <c r="I232" t="s">
        <v>3302</v>
      </c>
    </row>
    <row r="233" spans="1:9">
      <c r="A233" t="s">
        <v>3494</v>
      </c>
      <c r="B233" t="s">
        <v>134</v>
      </c>
      <c r="C233">
        <v>5</v>
      </c>
      <c r="E233">
        <v>41538.230000000003</v>
      </c>
      <c r="I233" t="s">
        <v>3302</v>
      </c>
    </row>
    <row r="234" spans="1:9">
      <c r="A234" t="s">
        <v>3494</v>
      </c>
      <c r="B234" t="s">
        <v>134</v>
      </c>
      <c r="C234">
        <v>6</v>
      </c>
      <c r="E234">
        <v>41940.86</v>
      </c>
      <c r="H234">
        <v>1.41</v>
      </c>
      <c r="I234" t="s">
        <v>3302</v>
      </c>
    </row>
    <row r="235" spans="1:9">
      <c r="A235" t="s">
        <v>3378</v>
      </c>
      <c r="B235" t="s">
        <v>367</v>
      </c>
      <c r="C235">
        <v>1</v>
      </c>
      <c r="E235">
        <v>40931.599999999999</v>
      </c>
      <c r="I235" t="s">
        <v>3499</v>
      </c>
    </row>
    <row r="236" spans="1:9">
      <c r="A236" t="s">
        <v>3500</v>
      </c>
      <c r="B236" t="s">
        <v>3501</v>
      </c>
      <c r="C236">
        <v>4</v>
      </c>
      <c r="E236">
        <v>41319.96</v>
      </c>
      <c r="H236">
        <v>0.99</v>
      </c>
      <c r="I236" t="s">
        <v>3302</v>
      </c>
    </row>
    <row r="237" spans="1:9">
      <c r="A237" t="s">
        <v>3502</v>
      </c>
      <c r="B237" t="s">
        <v>2059</v>
      </c>
      <c r="C237">
        <v>3</v>
      </c>
      <c r="E237">
        <v>42102.559999999998</v>
      </c>
      <c r="I237" t="s">
        <v>3302</v>
      </c>
    </row>
    <row r="238" spans="1:9">
      <c r="A238" t="s">
        <v>3502</v>
      </c>
      <c r="B238" t="s">
        <v>2059</v>
      </c>
      <c r="C238">
        <v>4</v>
      </c>
      <c r="E238">
        <v>42272.41</v>
      </c>
      <c r="I238" t="s">
        <v>3302</v>
      </c>
    </row>
    <row r="239" spans="1:9">
      <c r="A239" t="s">
        <v>3502</v>
      </c>
      <c r="B239" t="s">
        <v>2059</v>
      </c>
      <c r="C239">
        <v>5</v>
      </c>
      <c r="E239">
        <v>43834.96</v>
      </c>
      <c r="I239" t="s">
        <v>3302</v>
      </c>
    </row>
    <row r="240" spans="1:9">
      <c r="A240" t="s">
        <v>3378</v>
      </c>
      <c r="B240" t="s">
        <v>970</v>
      </c>
      <c r="C240">
        <v>1</v>
      </c>
      <c r="E240">
        <v>42296.800000000003</v>
      </c>
      <c r="I240" t="s">
        <v>3503</v>
      </c>
    </row>
    <row r="241" spans="1:9">
      <c r="A241" t="s">
        <v>3378</v>
      </c>
      <c r="B241" t="s">
        <v>970</v>
      </c>
      <c r="C241">
        <v>2</v>
      </c>
      <c r="E241">
        <v>42433.65</v>
      </c>
      <c r="I241" t="s">
        <v>3302</v>
      </c>
    </row>
    <row r="242" spans="1:9">
      <c r="A242" t="s">
        <v>3378</v>
      </c>
      <c r="B242" t="s">
        <v>970</v>
      </c>
      <c r="C242">
        <v>3</v>
      </c>
      <c r="E242">
        <v>42799.199999999997</v>
      </c>
      <c r="H242">
        <v>1.35</v>
      </c>
      <c r="I242" t="s">
        <v>3302</v>
      </c>
    </row>
    <row r="243" spans="1:9">
      <c r="B243" t="s">
        <v>125</v>
      </c>
      <c r="C243">
        <v>5</v>
      </c>
      <c r="E243">
        <v>42309.29</v>
      </c>
      <c r="F243" t="s">
        <v>34</v>
      </c>
      <c r="I243" t="s">
        <v>3302</v>
      </c>
    </row>
    <row r="244" spans="1:9">
      <c r="A244" t="s">
        <v>3487</v>
      </c>
      <c r="B244" t="s">
        <v>2094</v>
      </c>
      <c r="C244">
        <v>2</v>
      </c>
      <c r="E244">
        <v>42706</v>
      </c>
      <c r="I244" t="s">
        <v>3302</v>
      </c>
    </row>
    <row r="245" spans="1:9">
      <c r="A245" t="s">
        <v>3487</v>
      </c>
      <c r="B245" t="s">
        <v>2094</v>
      </c>
      <c r="C245">
        <v>3</v>
      </c>
      <c r="E245">
        <v>43268.24</v>
      </c>
      <c r="I245" t="s">
        <v>3302</v>
      </c>
    </row>
    <row r="246" spans="1:9">
      <c r="A246" t="s">
        <v>3487</v>
      </c>
      <c r="B246" t="s">
        <v>2094</v>
      </c>
      <c r="C246">
        <v>4</v>
      </c>
      <c r="E246">
        <v>43276</v>
      </c>
      <c r="I246" t="s">
        <v>3302</v>
      </c>
    </row>
    <row r="247" spans="1:9">
      <c r="B247" t="s">
        <v>988</v>
      </c>
      <c r="C247">
        <v>1</v>
      </c>
      <c r="E247">
        <v>43182.96</v>
      </c>
      <c r="I247" t="s">
        <v>3302</v>
      </c>
    </row>
    <row r="248" spans="1:9">
      <c r="A248" t="s">
        <v>3487</v>
      </c>
      <c r="B248" t="s">
        <v>3504</v>
      </c>
      <c r="C248">
        <v>1</v>
      </c>
      <c r="E248">
        <v>44882.3</v>
      </c>
      <c r="I248" t="s">
        <v>3302</v>
      </c>
    </row>
    <row r="249" spans="1:9">
      <c r="A249" t="s">
        <v>3487</v>
      </c>
      <c r="B249" t="s">
        <v>3504</v>
      </c>
      <c r="C249">
        <v>2</v>
      </c>
      <c r="E249">
        <v>45017.13</v>
      </c>
      <c r="I249" t="s">
        <v>3302</v>
      </c>
    </row>
    <row r="250" spans="1:9">
      <c r="A250" t="s">
        <v>3487</v>
      </c>
      <c r="B250" t="s">
        <v>3505</v>
      </c>
      <c r="C250">
        <v>1</v>
      </c>
      <c r="E250">
        <v>45405.3</v>
      </c>
      <c r="I250" t="s">
        <v>3302</v>
      </c>
    </row>
    <row r="251" spans="1:9">
      <c r="A251" t="s">
        <v>3487</v>
      </c>
      <c r="B251" t="s">
        <v>3505</v>
      </c>
      <c r="C251">
        <v>2</v>
      </c>
      <c r="E251">
        <v>45587.62</v>
      </c>
      <c r="I251" t="s">
        <v>3302</v>
      </c>
    </row>
    <row r="252" spans="1:9">
      <c r="A252" t="s">
        <v>3487</v>
      </c>
      <c r="B252" t="s">
        <v>3505</v>
      </c>
      <c r="C252">
        <v>3</v>
      </c>
      <c r="E252">
        <v>45710.29</v>
      </c>
      <c r="I252" t="s">
        <v>3302</v>
      </c>
    </row>
    <row r="253" spans="1:9">
      <c r="A253" t="s">
        <v>3506</v>
      </c>
      <c r="B253" t="s">
        <v>2133</v>
      </c>
      <c r="C253">
        <v>2</v>
      </c>
      <c r="E253">
        <v>45798.48</v>
      </c>
      <c r="I253" t="s">
        <v>3302</v>
      </c>
    </row>
    <row r="254" spans="1:9">
      <c r="A254" t="s">
        <v>3506</v>
      </c>
      <c r="B254" t="s">
        <v>2133</v>
      </c>
      <c r="C254">
        <v>3</v>
      </c>
      <c r="E254">
        <v>46195.15</v>
      </c>
      <c r="I254" t="s">
        <v>3302</v>
      </c>
    </row>
    <row r="255" spans="1:9">
      <c r="A255" t="s">
        <v>3506</v>
      </c>
      <c r="B255" t="s">
        <v>2133</v>
      </c>
      <c r="C255">
        <v>4</v>
      </c>
      <c r="E255">
        <v>46641.42</v>
      </c>
      <c r="I255" t="s">
        <v>3302</v>
      </c>
    </row>
    <row r="256" spans="1:9">
      <c r="A256" t="s">
        <v>3506</v>
      </c>
      <c r="B256" t="s">
        <v>2133</v>
      </c>
      <c r="C256">
        <v>5</v>
      </c>
      <c r="E256">
        <v>47134.5</v>
      </c>
      <c r="I256" t="s">
        <v>3302</v>
      </c>
    </row>
    <row r="257" spans="1:10">
      <c r="A257" t="s">
        <v>3506</v>
      </c>
      <c r="B257" t="s">
        <v>2133</v>
      </c>
      <c r="C257">
        <v>6</v>
      </c>
      <c r="E257">
        <v>47698.29</v>
      </c>
      <c r="I257" t="s">
        <v>3302</v>
      </c>
    </row>
    <row r="258" spans="1:10">
      <c r="A258" t="s">
        <v>3507</v>
      </c>
      <c r="B258" t="s">
        <v>1016</v>
      </c>
      <c r="C258">
        <v>3</v>
      </c>
      <c r="E258">
        <v>46328.160000000003</v>
      </c>
      <c r="I258" t="s">
        <v>3302</v>
      </c>
    </row>
    <row r="259" spans="1:10">
      <c r="A259" t="s">
        <v>3508</v>
      </c>
      <c r="B259" t="s">
        <v>984</v>
      </c>
      <c r="C259">
        <v>1</v>
      </c>
      <c r="E259">
        <v>47765.56</v>
      </c>
      <c r="I259" t="s">
        <v>3302</v>
      </c>
    </row>
    <row r="260" spans="1:10">
      <c r="A260" t="s">
        <v>3508</v>
      </c>
      <c r="B260" t="s">
        <v>984</v>
      </c>
      <c r="C260">
        <v>2</v>
      </c>
      <c r="E260">
        <v>48133.64</v>
      </c>
      <c r="I260" t="s">
        <v>3302</v>
      </c>
    </row>
    <row r="261" spans="1:10">
      <c r="A261" t="s">
        <v>3508</v>
      </c>
      <c r="B261" t="s">
        <v>984</v>
      </c>
      <c r="C261">
        <v>3</v>
      </c>
      <c r="E261">
        <v>48713.440000000002</v>
      </c>
      <c r="I261" t="s">
        <v>3302</v>
      </c>
    </row>
    <row r="262" spans="1:10">
      <c r="B262" t="s">
        <v>3509</v>
      </c>
      <c r="C262">
        <v>1</v>
      </c>
      <c r="E262">
        <v>51899.4</v>
      </c>
      <c r="I262" t="s">
        <v>3302</v>
      </c>
    </row>
    <row r="263" spans="1:10">
      <c r="A263" t="s">
        <v>3510</v>
      </c>
      <c r="B263" t="s">
        <v>202</v>
      </c>
      <c r="C263" t="s">
        <v>203</v>
      </c>
      <c r="E263">
        <v>53507.832000000002</v>
      </c>
      <c r="G263">
        <v>0.04</v>
      </c>
      <c r="I263" t="s">
        <v>3302</v>
      </c>
      <c r="J263" t="s">
        <v>3511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1E9F-C650-4591-96AE-A56322188F62}">
  <dimension ref="A1:I396"/>
  <sheetViews>
    <sheetView workbookViewId="0">
      <selection sqref="A1:I1048576"/>
    </sheetView>
  </sheetViews>
  <sheetFormatPr defaultRowHeight="15"/>
  <cols>
    <col min="1" max="1" width="16" bestFit="1" customWidth="1"/>
    <col min="2" max="2" width="6.28515625" bestFit="1" customWidth="1"/>
    <col min="3" max="3" width="4.855468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7109375" bestFit="1" customWidth="1"/>
    <col min="9" max="9" width="10.140625" bestFit="1" customWidth="1"/>
  </cols>
  <sheetData>
    <row r="1" spans="1:9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3512</v>
      </c>
      <c r="B2" t="s">
        <v>1040</v>
      </c>
      <c r="C2" s="2" t="s">
        <v>248</v>
      </c>
      <c r="E2">
        <v>0</v>
      </c>
      <c r="H2">
        <v>3.323</v>
      </c>
      <c r="I2" t="s">
        <v>3265</v>
      </c>
    </row>
    <row r="3" spans="1:9">
      <c r="A3" t="s">
        <v>3512</v>
      </c>
      <c r="B3" t="s">
        <v>1040</v>
      </c>
      <c r="C3" s="2" t="s">
        <v>250</v>
      </c>
      <c r="E3">
        <v>154.19</v>
      </c>
      <c r="H3">
        <v>1.863</v>
      </c>
      <c r="I3" t="s">
        <v>3265</v>
      </c>
    </row>
    <row r="4" spans="1:9">
      <c r="A4" t="s">
        <v>3512</v>
      </c>
      <c r="B4" t="s">
        <v>1040</v>
      </c>
      <c r="C4" s="2" t="s">
        <v>249</v>
      </c>
      <c r="E4">
        <v>391.99</v>
      </c>
      <c r="H4">
        <v>1.6519999999999999</v>
      </c>
      <c r="I4" t="s">
        <v>3265</v>
      </c>
    </row>
    <row r="5" spans="1:9">
      <c r="A5" t="s">
        <v>3512</v>
      </c>
      <c r="B5" t="s">
        <v>1040</v>
      </c>
      <c r="C5" s="2" t="s">
        <v>251</v>
      </c>
      <c r="E5">
        <v>695.25</v>
      </c>
      <c r="H5">
        <v>1.5820000000000001</v>
      </c>
      <c r="I5" t="s">
        <v>3265</v>
      </c>
    </row>
    <row r="6" spans="1:9">
      <c r="A6" t="s">
        <v>3512</v>
      </c>
      <c r="B6" t="s">
        <v>1040</v>
      </c>
      <c r="C6" s="2" t="s">
        <v>252</v>
      </c>
      <c r="E6">
        <v>1050.26</v>
      </c>
      <c r="H6">
        <v>1.5489999999999999</v>
      </c>
      <c r="I6" t="s">
        <v>3265</v>
      </c>
    </row>
    <row r="7" spans="1:9">
      <c r="A7" t="s">
        <v>3513</v>
      </c>
      <c r="B7" t="s">
        <v>1034</v>
      </c>
      <c r="C7" s="2" t="s">
        <v>250</v>
      </c>
      <c r="E7">
        <v>1142.79</v>
      </c>
      <c r="H7">
        <v>0.40200000000000002</v>
      </c>
      <c r="I7" t="s">
        <v>3265</v>
      </c>
    </row>
    <row r="8" spans="1:9">
      <c r="A8" t="s">
        <v>3513</v>
      </c>
      <c r="B8" t="s">
        <v>1034</v>
      </c>
      <c r="C8" s="2" t="s">
        <v>249</v>
      </c>
      <c r="E8">
        <v>1586.9</v>
      </c>
      <c r="H8">
        <v>1.0289999999999999</v>
      </c>
      <c r="I8" t="s">
        <v>3265</v>
      </c>
    </row>
    <row r="9" spans="1:9">
      <c r="A9" t="s">
        <v>3513</v>
      </c>
      <c r="B9" t="s">
        <v>1034</v>
      </c>
      <c r="C9" s="2" t="s">
        <v>251</v>
      </c>
      <c r="E9">
        <v>2154.11</v>
      </c>
      <c r="H9">
        <v>1.2350000000000001</v>
      </c>
      <c r="I9" t="s">
        <v>3265</v>
      </c>
    </row>
    <row r="10" spans="1:9">
      <c r="A10" t="s">
        <v>3513</v>
      </c>
      <c r="B10" t="s">
        <v>1034</v>
      </c>
      <c r="C10" s="2" t="s">
        <v>252</v>
      </c>
      <c r="E10">
        <v>2805.36</v>
      </c>
      <c r="H10">
        <v>1.33</v>
      </c>
      <c r="I10" t="s">
        <v>3265</v>
      </c>
    </row>
    <row r="11" spans="1:9">
      <c r="A11" t="s">
        <v>3513</v>
      </c>
      <c r="B11" t="s">
        <v>1043</v>
      </c>
      <c r="C11" s="2" t="s">
        <v>248</v>
      </c>
      <c r="E11">
        <v>4998.17</v>
      </c>
      <c r="H11">
        <v>2.65</v>
      </c>
      <c r="I11" t="s">
        <v>3265</v>
      </c>
    </row>
    <row r="12" spans="1:9">
      <c r="A12" t="s">
        <v>3513</v>
      </c>
      <c r="B12" t="s">
        <v>1043</v>
      </c>
      <c r="C12" s="2" t="s">
        <v>250</v>
      </c>
      <c r="E12">
        <v>5297.92</v>
      </c>
      <c r="H12">
        <v>1.7210000000000001</v>
      </c>
      <c r="I12" t="s">
        <v>3265</v>
      </c>
    </row>
    <row r="13" spans="1:9">
      <c r="A13" t="s">
        <v>3513</v>
      </c>
      <c r="B13" t="s">
        <v>1043</v>
      </c>
      <c r="C13" s="2" t="s">
        <v>249</v>
      </c>
      <c r="E13">
        <v>5965.45</v>
      </c>
      <c r="H13">
        <v>1.5960000000000001</v>
      </c>
      <c r="I13" t="s">
        <v>3265</v>
      </c>
    </row>
    <row r="14" spans="1:9">
      <c r="A14" t="s">
        <v>3512</v>
      </c>
      <c r="B14" t="s">
        <v>1041</v>
      </c>
      <c r="C14" s="2" t="s">
        <v>248</v>
      </c>
      <c r="E14">
        <v>8410.9</v>
      </c>
      <c r="H14">
        <v>0.06</v>
      </c>
      <c r="I14" t="s">
        <v>3265</v>
      </c>
    </row>
    <row r="15" spans="1:9">
      <c r="A15" t="s">
        <v>3512</v>
      </c>
      <c r="B15" t="s">
        <v>1041</v>
      </c>
      <c r="C15" s="2" t="s">
        <v>250</v>
      </c>
      <c r="E15">
        <v>8705.32</v>
      </c>
      <c r="H15">
        <v>1.1970000000000001</v>
      </c>
      <c r="I15" t="s">
        <v>3265</v>
      </c>
    </row>
    <row r="16" spans="1:9">
      <c r="A16" t="s">
        <v>3512</v>
      </c>
      <c r="B16" t="s">
        <v>1041</v>
      </c>
      <c r="C16" s="2" t="s">
        <v>249</v>
      </c>
      <c r="E16">
        <v>9043.14</v>
      </c>
      <c r="H16">
        <v>1.36</v>
      </c>
      <c r="I16" t="s">
        <v>3265</v>
      </c>
    </row>
    <row r="17" spans="1:9">
      <c r="A17" t="s">
        <v>3512</v>
      </c>
      <c r="B17" t="s">
        <v>1041</v>
      </c>
      <c r="C17" s="2" t="s">
        <v>251</v>
      </c>
      <c r="E17">
        <v>9497.52</v>
      </c>
      <c r="H17">
        <v>1.42</v>
      </c>
      <c r="I17" t="s">
        <v>3265</v>
      </c>
    </row>
    <row r="18" spans="1:9">
      <c r="A18" t="s">
        <v>3513</v>
      </c>
      <c r="B18" t="s">
        <v>1047</v>
      </c>
      <c r="C18" s="2" t="s">
        <v>251</v>
      </c>
      <c r="E18">
        <v>8827</v>
      </c>
      <c r="H18">
        <v>0.88500000000000001</v>
      </c>
      <c r="I18" t="s">
        <v>3265</v>
      </c>
    </row>
    <row r="19" spans="1:9">
      <c r="A19" t="s">
        <v>3513</v>
      </c>
      <c r="B19" t="s">
        <v>1047</v>
      </c>
      <c r="C19" s="2" t="s">
        <v>252</v>
      </c>
      <c r="E19">
        <v>9328.8799999999992</v>
      </c>
      <c r="H19">
        <v>1.103</v>
      </c>
      <c r="I19" t="s">
        <v>3265</v>
      </c>
    </row>
    <row r="20" spans="1:9">
      <c r="A20" t="s">
        <v>3513</v>
      </c>
      <c r="B20" t="s">
        <v>2542</v>
      </c>
      <c r="C20" s="2" t="s">
        <v>250</v>
      </c>
      <c r="E20">
        <v>9439.08</v>
      </c>
      <c r="H20">
        <v>0.95299999999999996</v>
      </c>
      <c r="I20" t="s">
        <v>3265</v>
      </c>
    </row>
    <row r="21" spans="1:9">
      <c r="A21" t="s">
        <v>3513</v>
      </c>
      <c r="B21" t="s">
        <v>2542</v>
      </c>
      <c r="C21" s="2" t="s">
        <v>249</v>
      </c>
      <c r="E21">
        <v>10237.51</v>
      </c>
      <c r="H21">
        <v>1.206</v>
      </c>
      <c r="I21" t="s">
        <v>3265</v>
      </c>
    </row>
    <row r="22" spans="1:9">
      <c r="A22" t="s">
        <v>3513</v>
      </c>
      <c r="B22" t="s">
        <v>1050</v>
      </c>
      <c r="C22" s="2" t="s">
        <v>248</v>
      </c>
      <c r="E22">
        <v>10126.06</v>
      </c>
      <c r="H22">
        <v>0.66</v>
      </c>
      <c r="I22" t="s">
        <v>3265</v>
      </c>
    </row>
    <row r="23" spans="1:9">
      <c r="A23" t="s">
        <v>3513</v>
      </c>
      <c r="B23" t="s">
        <v>1050</v>
      </c>
      <c r="C23" s="2" t="s">
        <v>250</v>
      </c>
      <c r="E23">
        <v>11318.09</v>
      </c>
      <c r="H23">
        <v>1.175</v>
      </c>
      <c r="I23" t="s">
        <v>3265</v>
      </c>
    </row>
    <row r="24" spans="1:9">
      <c r="A24" t="s">
        <v>3514</v>
      </c>
      <c r="B24" t="s">
        <v>1056</v>
      </c>
      <c r="C24" s="2" t="s">
        <v>251</v>
      </c>
      <c r="E24">
        <v>10922.74</v>
      </c>
      <c r="H24">
        <v>0.69</v>
      </c>
      <c r="I24" t="s">
        <v>3265</v>
      </c>
    </row>
    <row r="25" spans="1:9">
      <c r="A25" t="s">
        <v>3514</v>
      </c>
      <c r="B25" t="s">
        <v>1056</v>
      </c>
      <c r="C25" s="2" t="s">
        <v>252</v>
      </c>
      <c r="E25">
        <v>11044.08</v>
      </c>
      <c r="H25">
        <v>0.98399999999999999</v>
      </c>
      <c r="I25" t="s">
        <v>3265</v>
      </c>
    </row>
    <row r="26" spans="1:9">
      <c r="A26" t="s">
        <v>3514</v>
      </c>
      <c r="B26" t="s">
        <v>1056</v>
      </c>
      <c r="C26" s="2" t="s">
        <v>1702</v>
      </c>
      <c r="E26">
        <v>11247.88</v>
      </c>
      <c r="H26">
        <v>1.1200000000000001</v>
      </c>
      <c r="I26" t="s">
        <v>3265</v>
      </c>
    </row>
    <row r="27" spans="1:9">
      <c r="A27" t="s">
        <v>3514</v>
      </c>
      <c r="B27" t="s">
        <v>1056</v>
      </c>
      <c r="C27" s="2" t="s">
        <v>720</v>
      </c>
      <c r="E27">
        <v>11524.65</v>
      </c>
      <c r="H27">
        <v>1.22</v>
      </c>
      <c r="I27" t="s">
        <v>3265</v>
      </c>
    </row>
    <row r="28" spans="1:9">
      <c r="A28" t="s">
        <v>3515</v>
      </c>
      <c r="B28" t="s">
        <v>1095</v>
      </c>
      <c r="C28" s="2" t="s">
        <v>249</v>
      </c>
      <c r="E28">
        <v>11344.7</v>
      </c>
      <c r="H28">
        <v>1.99</v>
      </c>
      <c r="I28" t="s">
        <v>3265</v>
      </c>
    </row>
    <row r="29" spans="1:9">
      <c r="A29" t="s">
        <v>3516</v>
      </c>
      <c r="B29" t="s">
        <v>1074</v>
      </c>
      <c r="C29" s="2" t="s">
        <v>249</v>
      </c>
      <c r="E29">
        <v>12018.25</v>
      </c>
      <c r="H29">
        <v>0.74199999999999999</v>
      </c>
      <c r="I29" t="s">
        <v>3265</v>
      </c>
    </row>
    <row r="30" spans="1:9">
      <c r="A30" t="s">
        <v>3516</v>
      </c>
      <c r="B30" t="s">
        <v>1074</v>
      </c>
      <c r="C30" s="2" t="s">
        <v>251</v>
      </c>
      <c r="E30">
        <v>12136.86</v>
      </c>
      <c r="H30">
        <v>1.081</v>
      </c>
      <c r="I30" t="s">
        <v>3265</v>
      </c>
    </row>
    <row r="31" spans="1:9">
      <c r="A31" t="s">
        <v>3516</v>
      </c>
      <c r="B31" t="s">
        <v>1074</v>
      </c>
      <c r="C31" s="2" t="s">
        <v>252</v>
      </c>
      <c r="E31">
        <v>12357.7</v>
      </c>
      <c r="H31">
        <v>1.23</v>
      </c>
      <c r="I31" t="s">
        <v>3265</v>
      </c>
    </row>
    <row r="32" spans="1:9">
      <c r="A32" t="s">
        <v>3516</v>
      </c>
      <c r="B32" t="s">
        <v>1074</v>
      </c>
      <c r="C32" s="2" t="s">
        <v>1702</v>
      </c>
      <c r="E32">
        <v>13012.2</v>
      </c>
      <c r="H32">
        <v>1.26</v>
      </c>
      <c r="I32" t="s">
        <v>3265</v>
      </c>
    </row>
    <row r="33" spans="1:9">
      <c r="A33" t="s">
        <v>3513</v>
      </c>
      <c r="B33" t="s">
        <v>1064</v>
      </c>
      <c r="C33" s="2" t="s">
        <v>252</v>
      </c>
      <c r="E33">
        <v>12102.12</v>
      </c>
      <c r="H33">
        <v>0.93</v>
      </c>
      <c r="I33" t="s">
        <v>3265</v>
      </c>
    </row>
    <row r="34" spans="1:9">
      <c r="A34" t="s">
        <v>3513</v>
      </c>
      <c r="B34" t="s">
        <v>1064</v>
      </c>
      <c r="C34" s="2" t="s">
        <v>1702</v>
      </c>
      <c r="E34">
        <v>12502.97</v>
      </c>
      <c r="H34">
        <v>1.1000000000000001</v>
      </c>
      <c r="I34" t="s">
        <v>3265</v>
      </c>
    </row>
    <row r="35" spans="1:9">
      <c r="A35" t="s">
        <v>3517</v>
      </c>
      <c r="B35" t="s">
        <v>1068</v>
      </c>
      <c r="C35" s="2" t="s">
        <v>250</v>
      </c>
      <c r="E35">
        <v>12288.25</v>
      </c>
      <c r="H35">
        <v>0.40200000000000002</v>
      </c>
      <c r="I35" t="s">
        <v>3265</v>
      </c>
    </row>
    <row r="36" spans="1:9">
      <c r="A36" t="s">
        <v>3517</v>
      </c>
      <c r="B36" t="s">
        <v>1068</v>
      </c>
      <c r="C36" s="2" t="s">
        <v>249</v>
      </c>
      <c r="E36">
        <v>12692.12</v>
      </c>
      <c r="H36">
        <v>0.85199999999999998</v>
      </c>
      <c r="I36" t="s">
        <v>3265</v>
      </c>
    </row>
    <row r="37" spans="1:9">
      <c r="A37" t="s">
        <v>3517</v>
      </c>
      <c r="B37" t="s">
        <v>1068</v>
      </c>
      <c r="C37" s="2" t="s">
        <v>251</v>
      </c>
      <c r="E37">
        <v>12982.38</v>
      </c>
      <c r="H37">
        <v>1.1200000000000001</v>
      </c>
      <c r="I37" t="s">
        <v>3265</v>
      </c>
    </row>
    <row r="38" spans="1:9">
      <c r="A38" t="s">
        <v>3517</v>
      </c>
      <c r="B38" t="s">
        <v>1068</v>
      </c>
      <c r="C38" s="2" t="s">
        <v>252</v>
      </c>
      <c r="E38">
        <v>13145.71</v>
      </c>
      <c r="H38">
        <v>1.224</v>
      </c>
      <c r="I38" t="s">
        <v>3265</v>
      </c>
    </row>
    <row r="39" spans="1:9">
      <c r="A39" t="s">
        <v>3513</v>
      </c>
      <c r="B39" t="s">
        <v>1091</v>
      </c>
      <c r="C39" s="2" t="s">
        <v>249</v>
      </c>
      <c r="E39">
        <v>13404.77</v>
      </c>
      <c r="H39">
        <v>0.86</v>
      </c>
      <c r="I39" t="s">
        <v>3265</v>
      </c>
    </row>
    <row r="40" spans="1:9">
      <c r="A40" t="s">
        <v>3513</v>
      </c>
      <c r="B40" t="s">
        <v>1091</v>
      </c>
      <c r="C40" s="2" t="s">
        <v>251</v>
      </c>
      <c r="E40">
        <v>13515.2</v>
      </c>
      <c r="H40">
        <v>1.1299999999999999</v>
      </c>
      <c r="I40" t="s">
        <v>3265</v>
      </c>
    </row>
    <row r="41" spans="1:9">
      <c r="A41" t="s">
        <v>3518</v>
      </c>
      <c r="B41" t="s">
        <v>1060</v>
      </c>
      <c r="C41" s="2" t="s">
        <v>248</v>
      </c>
      <c r="E41">
        <v>13629.15</v>
      </c>
      <c r="H41">
        <v>2.64</v>
      </c>
      <c r="I41" t="s">
        <v>3265</v>
      </c>
    </row>
    <row r="42" spans="1:9">
      <c r="A42" t="s">
        <v>3518</v>
      </c>
      <c r="B42" t="s">
        <v>1060</v>
      </c>
      <c r="C42" s="2" t="s">
        <v>250</v>
      </c>
      <c r="E42">
        <v>14211.3</v>
      </c>
      <c r="H42">
        <v>1.71</v>
      </c>
      <c r="I42" t="s">
        <v>3265</v>
      </c>
    </row>
    <row r="43" spans="1:9">
      <c r="A43" t="s">
        <v>3518</v>
      </c>
      <c r="B43" t="s">
        <v>1060</v>
      </c>
      <c r="C43" s="2" t="s">
        <v>249</v>
      </c>
      <c r="E43">
        <v>14899.26</v>
      </c>
      <c r="H43">
        <v>1.54</v>
      </c>
      <c r="I43" t="s">
        <v>3265</v>
      </c>
    </row>
    <row r="44" spans="1:9">
      <c r="A44" t="s">
        <v>3519</v>
      </c>
      <c r="B44" t="s">
        <v>1104</v>
      </c>
      <c r="C44" s="2" t="s">
        <v>251</v>
      </c>
      <c r="E44">
        <v>15282.35</v>
      </c>
      <c r="H44">
        <v>1.43</v>
      </c>
      <c r="I44" t="s">
        <v>3265</v>
      </c>
    </row>
    <row r="45" spans="1:9">
      <c r="A45" t="s">
        <v>3519</v>
      </c>
      <c r="B45" t="s">
        <v>1104</v>
      </c>
      <c r="C45" s="2" t="s">
        <v>250</v>
      </c>
      <c r="E45">
        <v>15439.25</v>
      </c>
      <c r="H45">
        <v>1.21</v>
      </c>
      <c r="I45" t="s">
        <v>3265</v>
      </c>
    </row>
    <row r="46" spans="1:9">
      <c r="A46" t="s">
        <v>3519</v>
      </c>
      <c r="B46" t="s">
        <v>1104</v>
      </c>
      <c r="C46" s="2" t="s">
        <v>248</v>
      </c>
      <c r="E46">
        <v>15460.77</v>
      </c>
      <c r="H46">
        <v>0.04</v>
      </c>
      <c r="I46" t="s">
        <v>3265</v>
      </c>
    </row>
    <row r="47" spans="1:9">
      <c r="A47" t="s">
        <v>3519</v>
      </c>
      <c r="B47" t="s">
        <v>1104</v>
      </c>
      <c r="C47" s="2" t="s">
        <v>249</v>
      </c>
      <c r="E47">
        <v>15467.08</v>
      </c>
      <c r="H47">
        <v>1.42</v>
      </c>
      <c r="I47" t="s">
        <v>3265</v>
      </c>
    </row>
    <row r="48" spans="1:9">
      <c r="A48" t="s">
        <v>3520</v>
      </c>
      <c r="B48" t="s">
        <v>1072</v>
      </c>
      <c r="C48" s="2" t="s">
        <v>250</v>
      </c>
      <c r="E48">
        <v>16672</v>
      </c>
      <c r="H48">
        <v>0</v>
      </c>
      <c r="I48" t="s">
        <v>3265</v>
      </c>
    </row>
    <row r="49" spans="1:9">
      <c r="A49" t="s">
        <v>3520</v>
      </c>
      <c r="B49" t="s">
        <v>1072</v>
      </c>
      <c r="C49" s="2" t="s">
        <v>249</v>
      </c>
      <c r="E49">
        <v>16981.009999999998</v>
      </c>
      <c r="I49" t="s">
        <v>3265</v>
      </c>
    </row>
    <row r="50" spans="1:9">
      <c r="A50" t="s">
        <v>3520</v>
      </c>
      <c r="B50" t="s">
        <v>1072</v>
      </c>
      <c r="C50" s="2" t="s">
        <v>252</v>
      </c>
      <c r="E50">
        <v>17937.259999999998</v>
      </c>
      <c r="I50" t="s">
        <v>3265</v>
      </c>
    </row>
    <row r="51" spans="1:9">
      <c r="A51" t="s">
        <v>3514</v>
      </c>
      <c r="B51" t="s">
        <v>1089</v>
      </c>
      <c r="C51" s="2" t="s">
        <v>252</v>
      </c>
      <c r="E51">
        <v>16828.52</v>
      </c>
      <c r="H51">
        <v>1.04</v>
      </c>
      <c r="I51" t="s">
        <v>3265</v>
      </c>
    </row>
    <row r="52" spans="1:9">
      <c r="A52" t="s">
        <v>3514</v>
      </c>
      <c r="B52" t="s">
        <v>1089</v>
      </c>
      <c r="C52" s="2" t="s">
        <v>1702</v>
      </c>
      <c r="E52">
        <v>17476.22</v>
      </c>
      <c r="H52">
        <v>1.01</v>
      </c>
      <c r="I52" t="s">
        <v>3265</v>
      </c>
    </row>
    <row r="53" spans="1:9">
      <c r="A53" t="s">
        <v>3516</v>
      </c>
      <c r="B53" t="s">
        <v>1112</v>
      </c>
      <c r="C53" s="2" t="s">
        <v>251</v>
      </c>
      <c r="E53">
        <v>16918.78</v>
      </c>
      <c r="H53">
        <v>0.88</v>
      </c>
      <c r="I53" t="s">
        <v>3265</v>
      </c>
    </row>
    <row r="54" spans="1:9">
      <c r="A54" t="s">
        <v>3516</v>
      </c>
      <c r="B54" t="s">
        <v>1112</v>
      </c>
      <c r="C54" s="2" t="s">
        <v>252</v>
      </c>
      <c r="E54">
        <v>18035.97</v>
      </c>
      <c r="H54">
        <v>0.97</v>
      </c>
      <c r="I54" t="s">
        <v>3265</v>
      </c>
    </row>
    <row r="55" spans="1:9">
      <c r="A55" t="s">
        <v>3520</v>
      </c>
      <c r="B55" t="s">
        <v>1072</v>
      </c>
      <c r="C55" s="2" t="s">
        <v>251</v>
      </c>
      <c r="E55">
        <v>17405.32</v>
      </c>
      <c r="G55">
        <v>0.02</v>
      </c>
      <c r="I55" t="s">
        <v>3521</v>
      </c>
    </row>
    <row r="56" spans="1:9">
      <c r="A56" t="s">
        <v>3520</v>
      </c>
      <c r="B56" t="s">
        <v>1072</v>
      </c>
      <c r="C56" s="2" t="s">
        <v>1702</v>
      </c>
      <c r="E56">
        <v>18568.18</v>
      </c>
      <c r="G56">
        <v>0.02</v>
      </c>
      <c r="I56" t="s">
        <v>3521</v>
      </c>
    </row>
    <row r="57" spans="1:9">
      <c r="A57" t="s">
        <v>3520</v>
      </c>
      <c r="B57" t="s">
        <v>1072</v>
      </c>
      <c r="C57" s="2" t="s">
        <v>720</v>
      </c>
      <c r="E57">
        <v>19291.57</v>
      </c>
      <c r="G57">
        <v>0.08</v>
      </c>
      <c r="I57" t="s">
        <v>3521</v>
      </c>
    </row>
    <row r="58" spans="1:9">
      <c r="B58">
        <v>183</v>
      </c>
      <c r="C58" s="2" t="s">
        <v>1702</v>
      </c>
      <c r="E58">
        <v>18332.04</v>
      </c>
      <c r="I58" t="s">
        <v>3265</v>
      </c>
    </row>
    <row r="59" spans="1:9">
      <c r="A59" t="s">
        <v>3520</v>
      </c>
      <c r="B59" t="s">
        <v>1080</v>
      </c>
      <c r="C59" s="2" t="s">
        <v>248</v>
      </c>
      <c r="E59">
        <v>18791.09</v>
      </c>
      <c r="H59">
        <v>-0.373</v>
      </c>
      <c r="I59" t="s">
        <v>3265</v>
      </c>
    </row>
    <row r="60" spans="1:9">
      <c r="A60" t="s">
        <v>3520</v>
      </c>
      <c r="B60" t="s">
        <v>1080</v>
      </c>
      <c r="C60" s="2" t="s">
        <v>250</v>
      </c>
      <c r="E60">
        <v>19036.55</v>
      </c>
      <c r="H60">
        <v>1.145</v>
      </c>
      <c r="I60" t="s">
        <v>3265</v>
      </c>
    </row>
    <row r="61" spans="1:9">
      <c r="A61" t="s">
        <v>3520</v>
      </c>
      <c r="B61" t="s">
        <v>1080</v>
      </c>
      <c r="C61" s="2" t="s">
        <v>249</v>
      </c>
      <c r="E61">
        <v>19427.900000000001</v>
      </c>
      <c r="H61">
        <v>1.35</v>
      </c>
      <c r="I61" t="s">
        <v>3265</v>
      </c>
    </row>
    <row r="62" spans="1:9">
      <c r="A62" t="s">
        <v>3520</v>
      </c>
      <c r="B62" t="s">
        <v>1080</v>
      </c>
      <c r="C62" s="2" t="s">
        <v>251</v>
      </c>
      <c r="E62">
        <v>19916.689999999999</v>
      </c>
      <c r="H62">
        <v>1.39</v>
      </c>
      <c r="I62" t="s">
        <v>3265</v>
      </c>
    </row>
    <row r="63" spans="1:9">
      <c r="A63" t="s">
        <v>3520</v>
      </c>
      <c r="B63" t="s">
        <v>1080</v>
      </c>
      <c r="C63" s="2" t="s">
        <v>252</v>
      </c>
      <c r="E63">
        <v>20432.11</v>
      </c>
      <c r="H63">
        <v>1.44</v>
      </c>
      <c r="I63" t="s">
        <v>3265</v>
      </c>
    </row>
    <row r="64" spans="1:9">
      <c r="A64" t="s">
        <v>3522</v>
      </c>
      <c r="B64">
        <v>190</v>
      </c>
      <c r="C64" s="2" t="s">
        <v>251</v>
      </c>
      <c r="E64">
        <v>19034.71</v>
      </c>
      <c r="H64">
        <v>0.92</v>
      </c>
      <c r="I64" t="s">
        <v>3523</v>
      </c>
    </row>
    <row r="65" spans="1:9">
      <c r="A65" t="s">
        <v>3522</v>
      </c>
      <c r="B65">
        <v>195</v>
      </c>
      <c r="C65" s="2" t="s">
        <v>252</v>
      </c>
      <c r="E65">
        <v>19556.91</v>
      </c>
      <c r="H65">
        <v>1.1399999999999999</v>
      </c>
      <c r="I65" t="s">
        <v>3523</v>
      </c>
    </row>
    <row r="66" spans="1:9">
      <c r="A66" t="s">
        <v>3522</v>
      </c>
      <c r="B66">
        <v>195</v>
      </c>
      <c r="C66" s="2" t="s">
        <v>249</v>
      </c>
      <c r="E66">
        <v>19568.72</v>
      </c>
      <c r="H66">
        <v>0.94</v>
      </c>
      <c r="I66" t="s">
        <v>3523</v>
      </c>
    </row>
    <row r="67" spans="1:9">
      <c r="A67" t="s">
        <v>3520</v>
      </c>
      <c r="B67" t="s">
        <v>1075</v>
      </c>
      <c r="C67" s="2" t="s">
        <v>248</v>
      </c>
      <c r="E67">
        <v>19623.96</v>
      </c>
      <c r="H67">
        <v>3.01</v>
      </c>
      <c r="I67" t="s">
        <v>3265</v>
      </c>
    </row>
    <row r="68" spans="1:9">
      <c r="A68" t="s">
        <v>3520</v>
      </c>
      <c r="B68" t="s">
        <v>1075</v>
      </c>
      <c r="C68" s="2" t="s">
        <v>250</v>
      </c>
      <c r="E68">
        <v>19765.18</v>
      </c>
      <c r="H68">
        <v>1.72</v>
      </c>
      <c r="I68" t="s">
        <v>3265</v>
      </c>
    </row>
    <row r="69" spans="1:9">
      <c r="A69" t="s">
        <v>3520</v>
      </c>
      <c r="B69" t="s">
        <v>1075</v>
      </c>
      <c r="C69" s="2" t="s">
        <v>249</v>
      </c>
      <c r="E69">
        <v>19993.78</v>
      </c>
      <c r="H69">
        <v>1.56</v>
      </c>
      <c r="I69" t="s">
        <v>3265</v>
      </c>
    </row>
    <row r="70" spans="1:9">
      <c r="A70" t="s">
        <v>3520</v>
      </c>
      <c r="B70" t="s">
        <v>1075</v>
      </c>
      <c r="C70" s="2" t="s">
        <v>251</v>
      </c>
      <c r="E70">
        <v>20315.740000000002</v>
      </c>
      <c r="H70">
        <v>1.55</v>
      </c>
      <c r="I70" t="s">
        <v>3265</v>
      </c>
    </row>
    <row r="71" spans="1:9">
      <c r="A71" t="s">
        <v>3520</v>
      </c>
      <c r="B71" t="s">
        <v>1075</v>
      </c>
      <c r="C71" s="2" t="s">
        <v>252</v>
      </c>
      <c r="E71">
        <v>20733.88</v>
      </c>
      <c r="H71">
        <v>1.54</v>
      </c>
      <c r="I71" t="s">
        <v>3265</v>
      </c>
    </row>
    <row r="72" spans="1:9">
      <c r="A72" t="s">
        <v>3522</v>
      </c>
      <c r="B72">
        <v>199</v>
      </c>
      <c r="C72" s="2" t="s">
        <v>249</v>
      </c>
      <c r="E72">
        <v>19931.98</v>
      </c>
      <c r="H72">
        <v>1.1299999999999999</v>
      </c>
      <c r="I72" t="s">
        <v>3523</v>
      </c>
    </row>
    <row r="73" spans="1:9">
      <c r="A73" t="s">
        <v>3522</v>
      </c>
      <c r="B73">
        <v>200</v>
      </c>
      <c r="C73" s="2" t="s">
        <v>251</v>
      </c>
      <c r="E73">
        <v>20060.84</v>
      </c>
      <c r="H73">
        <v>1.1000000000000001</v>
      </c>
      <c r="I73" t="s">
        <v>3523</v>
      </c>
    </row>
    <row r="74" spans="1:9">
      <c r="A74" t="s">
        <v>3524</v>
      </c>
      <c r="B74" t="s">
        <v>1098</v>
      </c>
      <c r="C74" s="2" t="s">
        <v>248</v>
      </c>
      <c r="E74">
        <v>20107.36</v>
      </c>
      <c r="H74">
        <v>-0.02</v>
      </c>
      <c r="I74" t="s">
        <v>3265</v>
      </c>
    </row>
    <row r="75" spans="1:9">
      <c r="A75" t="s">
        <v>3524</v>
      </c>
      <c r="B75" t="s">
        <v>1098</v>
      </c>
      <c r="C75" s="2" t="s">
        <v>250</v>
      </c>
      <c r="E75">
        <v>20383.62</v>
      </c>
      <c r="H75">
        <v>1.26</v>
      </c>
      <c r="I75" t="s">
        <v>3265</v>
      </c>
    </row>
    <row r="76" spans="1:9">
      <c r="A76" t="s">
        <v>3524</v>
      </c>
      <c r="B76" t="s">
        <v>1098</v>
      </c>
      <c r="C76" s="2" t="s">
        <v>249</v>
      </c>
      <c r="E76">
        <v>20837.98</v>
      </c>
      <c r="H76">
        <v>1.39</v>
      </c>
      <c r="I76" t="s">
        <v>3265</v>
      </c>
    </row>
    <row r="77" spans="1:9">
      <c r="A77" t="s">
        <v>3524</v>
      </c>
      <c r="B77" t="s">
        <v>1098</v>
      </c>
      <c r="C77" s="2" t="s">
        <v>251</v>
      </c>
      <c r="E77">
        <v>21512.18</v>
      </c>
      <c r="H77">
        <v>1.44</v>
      </c>
      <c r="I77" t="s">
        <v>3265</v>
      </c>
    </row>
    <row r="78" spans="1:9">
      <c r="A78" t="s">
        <v>3520</v>
      </c>
      <c r="B78" t="s">
        <v>1080</v>
      </c>
      <c r="C78" s="2" t="s">
        <v>1702</v>
      </c>
      <c r="E78">
        <v>20939.919999999998</v>
      </c>
      <c r="G78">
        <v>0.02</v>
      </c>
      <c r="I78" t="s">
        <v>3521</v>
      </c>
    </row>
    <row r="79" spans="1:9">
      <c r="A79" t="s">
        <v>3525</v>
      </c>
      <c r="B79" t="s">
        <v>1143</v>
      </c>
      <c r="C79" s="2" t="s">
        <v>248</v>
      </c>
      <c r="E79">
        <v>22006.74</v>
      </c>
      <c r="H79">
        <v>2.4700000000000002</v>
      </c>
      <c r="I79" t="s">
        <v>3265</v>
      </c>
    </row>
    <row r="80" spans="1:9">
      <c r="A80" t="s">
        <v>3525</v>
      </c>
      <c r="B80" t="s">
        <v>1143</v>
      </c>
      <c r="C80" s="2" t="s">
        <v>250</v>
      </c>
      <c r="E80">
        <v>23006.86</v>
      </c>
      <c r="H80">
        <v>1.61</v>
      </c>
      <c r="I80" t="s">
        <v>3265</v>
      </c>
    </row>
    <row r="81" spans="1:9">
      <c r="A81" t="s">
        <v>3525</v>
      </c>
      <c r="B81" t="s">
        <v>1143</v>
      </c>
      <c r="C81" s="2" t="s">
        <v>249</v>
      </c>
      <c r="E81">
        <v>23684.44</v>
      </c>
      <c r="H81">
        <v>1.4770000000000001</v>
      </c>
      <c r="I81" t="s">
        <v>3265</v>
      </c>
    </row>
    <row r="82" spans="1:9">
      <c r="A82" t="s">
        <v>3524</v>
      </c>
      <c r="B82" t="s">
        <v>1115</v>
      </c>
      <c r="C82" s="2" t="s">
        <v>249</v>
      </c>
      <c r="E82">
        <v>22647.03</v>
      </c>
      <c r="H82">
        <v>0.57799999999999996</v>
      </c>
      <c r="I82" t="s">
        <v>3265</v>
      </c>
    </row>
    <row r="83" spans="1:9">
      <c r="A83" t="s">
        <v>3524</v>
      </c>
      <c r="B83" t="s">
        <v>1115</v>
      </c>
      <c r="C83" s="2" t="s">
        <v>251</v>
      </c>
      <c r="E83">
        <v>23022.560000000001</v>
      </c>
      <c r="H83">
        <v>0.98</v>
      </c>
      <c r="I83" t="s">
        <v>3265</v>
      </c>
    </row>
    <row r="84" spans="1:9">
      <c r="A84" t="s">
        <v>3524</v>
      </c>
      <c r="B84" t="s">
        <v>1115</v>
      </c>
      <c r="C84" s="2" t="s">
        <v>252</v>
      </c>
      <c r="E84">
        <v>23536.77</v>
      </c>
      <c r="H84">
        <v>1.1499999999999999</v>
      </c>
      <c r="I84" t="s">
        <v>3265</v>
      </c>
    </row>
    <row r="85" spans="1:9">
      <c r="A85" t="s">
        <v>3524</v>
      </c>
      <c r="B85" t="s">
        <v>1115</v>
      </c>
      <c r="C85" s="2" t="s">
        <v>1702</v>
      </c>
      <c r="E85">
        <v>24203.05</v>
      </c>
      <c r="H85">
        <v>1.25</v>
      </c>
      <c r="I85" t="s">
        <v>3265</v>
      </c>
    </row>
    <row r="86" spans="1:9">
      <c r="A86" t="s">
        <v>3515</v>
      </c>
      <c r="B86">
        <v>229</v>
      </c>
      <c r="C86" s="2" t="s">
        <v>251</v>
      </c>
      <c r="E86">
        <v>22936.9</v>
      </c>
      <c r="H86">
        <v>0.98</v>
      </c>
      <c r="I86" t="s">
        <v>3523</v>
      </c>
    </row>
    <row r="87" spans="1:9">
      <c r="A87" t="s">
        <v>3515</v>
      </c>
      <c r="B87">
        <v>230</v>
      </c>
      <c r="C87" s="2" t="s">
        <v>252</v>
      </c>
      <c r="E87">
        <v>23010.58</v>
      </c>
      <c r="H87">
        <v>1.1599999999999999</v>
      </c>
      <c r="I87" t="s">
        <v>3523</v>
      </c>
    </row>
    <row r="88" spans="1:9">
      <c r="A88" t="s">
        <v>3515</v>
      </c>
      <c r="B88">
        <v>230</v>
      </c>
      <c r="C88" s="2" t="s">
        <v>1702</v>
      </c>
      <c r="E88">
        <v>23048.58</v>
      </c>
      <c r="H88">
        <v>1.25</v>
      </c>
      <c r="I88" t="s">
        <v>3523</v>
      </c>
    </row>
    <row r="89" spans="1:9">
      <c r="A89" t="s">
        <v>3524</v>
      </c>
      <c r="B89" t="s">
        <v>1124</v>
      </c>
      <c r="C89" s="2" t="s">
        <v>250</v>
      </c>
      <c r="E89">
        <v>23243.87</v>
      </c>
      <c r="H89">
        <v>0.41599999999999998</v>
      </c>
      <c r="I89" t="s">
        <v>3265</v>
      </c>
    </row>
    <row r="90" spans="1:9">
      <c r="A90" t="s">
        <v>3524</v>
      </c>
      <c r="B90" t="s">
        <v>1124</v>
      </c>
      <c r="C90" s="2" t="s">
        <v>249</v>
      </c>
      <c r="E90">
        <v>23574.14</v>
      </c>
      <c r="H90">
        <v>1.0609999999999999</v>
      </c>
      <c r="I90" t="s">
        <v>3265</v>
      </c>
    </row>
    <row r="91" spans="1:9">
      <c r="A91" t="s">
        <v>3524</v>
      </c>
      <c r="B91" t="s">
        <v>1124</v>
      </c>
      <c r="C91" s="2" t="s">
        <v>251</v>
      </c>
      <c r="E91">
        <v>24015.11</v>
      </c>
      <c r="H91">
        <v>1.2430000000000001</v>
      </c>
      <c r="I91" t="s">
        <v>3265</v>
      </c>
    </row>
    <row r="92" spans="1:9">
      <c r="A92" t="s">
        <v>3524</v>
      </c>
      <c r="B92" t="s">
        <v>1124</v>
      </c>
      <c r="C92" s="2" t="s">
        <v>252</v>
      </c>
      <c r="E92">
        <v>24506.53</v>
      </c>
      <c r="H92">
        <v>1.3360000000000001</v>
      </c>
      <c r="I92" t="s">
        <v>3265</v>
      </c>
    </row>
    <row r="93" spans="1:9">
      <c r="A93" t="s">
        <v>3526</v>
      </c>
      <c r="B93" t="s">
        <v>1130</v>
      </c>
      <c r="C93" s="2" t="s">
        <v>250</v>
      </c>
      <c r="E93">
        <v>23525.8</v>
      </c>
      <c r="H93">
        <v>0.89800000000000002</v>
      </c>
      <c r="I93" t="s">
        <v>3265</v>
      </c>
    </row>
    <row r="94" spans="1:9">
      <c r="A94" t="s">
        <v>3526</v>
      </c>
      <c r="B94" t="s">
        <v>1130</v>
      </c>
      <c r="C94" s="2" t="s">
        <v>249</v>
      </c>
      <c r="E94">
        <v>24773.03</v>
      </c>
      <c r="H94">
        <v>1.3</v>
      </c>
      <c r="I94" t="s">
        <v>3265</v>
      </c>
    </row>
    <row r="95" spans="1:9">
      <c r="A95" t="s">
        <v>3526</v>
      </c>
      <c r="B95" t="s">
        <v>2623</v>
      </c>
      <c r="C95" s="2" t="s">
        <v>248</v>
      </c>
      <c r="E95">
        <v>23910.9</v>
      </c>
      <c r="H95">
        <v>2.1230000000000002</v>
      </c>
      <c r="I95" t="s">
        <v>3265</v>
      </c>
    </row>
    <row r="96" spans="1:9">
      <c r="A96" t="s">
        <v>3525</v>
      </c>
      <c r="B96" t="s">
        <v>1149</v>
      </c>
      <c r="C96" s="2" t="s">
        <v>248</v>
      </c>
      <c r="E96">
        <v>23984.87</v>
      </c>
      <c r="H96">
        <v>-0.60099999999999998</v>
      </c>
      <c r="I96" t="s">
        <v>3265</v>
      </c>
    </row>
    <row r="97" spans="1:9">
      <c r="A97" t="s">
        <v>3525</v>
      </c>
      <c r="B97" t="s">
        <v>1149</v>
      </c>
      <c r="C97" s="2" t="s">
        <v>250</v>
      </c>
      <c r="E97">
        <v>24164.79</v>
      </c>
      <c r="H97">
        <v>1.06</v>
      </c>
      <c r="I97" t="s">
        <v>3265</v>
      </c>
    </row>
    <row r="98" spans="1:9">
      <c r="A98" t="s">
        <v>3525</v>
      </c>
      <c r="B98" t="s">
        <v>1149</v>
      </c>
      <c r="C98" s="2" t="s">
        <v>249</v>
      </c>
      <c r="E98">
        <v>24396.799999999999</v>
      </c>
      <c r="H98">
        <v>1.306</v>
      </c>
      <c r="I98" t="s">
        <v>3265</v>
      </c>
    </row>
    <row r="99" spans="1:9">
      <c r="A99" t="s">
        <v>3525</v>
      </c>
      <c r="B99" t="s">
        <v>1149</v>
      </c>
      <c r="C99" s="2" t="s">
        <v>251</v>
      </c>
      <c r="E99">
        <v>24769.91</v>
      </c>
      <c r="H99">
        <v>1.38</v>
      </c>
      <c r="I99" t="s">
        <v>3265</v>
      </c>
    </row>
    <row r="100" spans="1:9">
      <c r="A100" t="s">
        <v>3525</v>
      </c>
      <c r="B100" t="s">
        <v>1149</v>
      </c>
      <c r="C100" s="2" t="s">
        <v>252</v>
      </c>
      <c r="E100">
        <v>25199.81</v>
      </c>
      <c r="H100">
        <v>1.427</v>
      </c>
      <c r="I100" t="s">
        <v>3265</v>
      </c>
    </row>
    <row r="101" spans="1:9">
      <c r="A101" t="s">
        <v>3525</v>
      </c>
      <c r="B101" t="s">
        <v>1149</v>
      </c>
      <c r="C101" s="2" t="s">
        <v>1702</v>
      </c>
      <c r="E101">
        <v>25680.36</v>
      </c>
      <c r="H101">
        <v>1.45</v>
      </c>
      <c r="I101" t="s">
        <v>3265</v>
      </c>
    </row>
    <row r="102" spans="1:9">
      <c r="A102" t="s">
        <v>3525</v>
      </c>
      <c r="B102" t="s">
        <v>1139</v>
      </c>
      <c r="C102" s="2" t="s">
        <v>250</v>
      </c>
      <c r="E102">
        <v>24283.34</v>
      </c>
      <c r="H102">
        <v>2.3820000000000001</v>
      </c>
      <c r="I102" t="s">
        <v>3265</v>
      </c>
    </row>
    <row r="103" spans="1:9">
      <c r="A103" t="s">
        <v>3525</v>
      </c>
      <c r="B103" t="s">
        <v>1139</v>
      </c>
      <c r="C103" s="2" t="s">
        <v>249</v>
      </c>
      <c r="E103">
        <v>24543.13</v>
      </c>
      <c r="H103">
        <v>1.8740000000000001</v>
      </c>
      <c r="I103" t="s">
        <v>3265</v>
      </c>
    </row>
    <row r="104" spans="1:9">
      <c r="A104" t="s">
        <v>3525</v>
      </c>
      <c r="B104" t="s">
        <v>1139</v>
      </c>
      <c r="C104" s="2" t="s">
        <v>251</v>
      </c>
      <c r="E104">
        <v>24904.86</v>
      </c>
      <c r="H104">
        <v>1.7030000000000001</v>
      </c>
      <c r="I104" t="s">
        <v>3265</v>
      </c>
    </row>
    <row r="105" spans="1:9">
      <c r="A105" t="s">
        <v>3527</v>
      </c>
      <c r="B105" t="s">
        <v>1168</v>
      </c>
      <c r="C105" s="2" t="s">
        <v>248</v>
      </c>
      <c r="E105">
        <v>25879.81</v>
      </c>
      <c r="H105">
        <v>3.22</v>
      </c>
      <c r="I105" t="s">
        <v>3265</v>
      </c>
    </row>
    <row r="106" spans="1:9">
      <c r="A106" t="s">
        <v>3527</v>
      </c>
      <c r="B106" t="s">
        <v>1168</v>
      </c>
      <c r="C106" s="2" t="s">
        <v>250</v>
      </c>
      <c r="E106">
        <v>26067.06</v>
      </c>
      <c r="H106">
        <v>1.82</v>
      </c>
      <c r="I106" t="s">
        <v>3265</v>
      </c>
    </row>
    <row r="107" spans="1:9">
      <c r="A107" t="s">
        <v>3527</v>
      </c>
      <c r="B107" t="s">
        <v>1168</v>
      </c>
      <c r="C107" s="2" t="s">
        <v>249</v>
      </c>
      <c r="E107">
        <v>26386.36</v>
      </c>
      <c r="H107">
        <v>1.61</v>
      </c>
      <c r="I107" t="s">
        <v>3265</v>
      </c>
    </row>
    <row r="108" spans="1:9">
      <c r="A108" t="s">
        <v>3527</v>
      </c>
      <c r="B108" t="s">
        <v>1168</v>
      </c>
      <c r="C108" s="2" t="s">
        <v>251</v>
      </c>
      <c r="E108">
        <v>26832.43</v>
      </c>
      <c r="H108">
        <v>1.248</v>
      </c>
      <c r="I108" t="s">
        <v>3265</v>
      </c>
    </row>
    <row r="109" spans="1:9">
      <c r="A109" t="s">
        <v>3527</v>
      </c>
      <c r="B109" t="s">
        <v>1168</v>
      </c>
      <c r="C109" s="2" t="s">
        <v>252</v>
      </c>
      <c r="E109">
        <v>27419.62</v>
      </c>
      <c r="H109">
        <v>1.4219999999999999</v>
      </c>
      <c r="I109" t="s">
        <v>3265</v>
      </c>
    </row>
    <row r="110" spans="1:9">
      <c r="A110" t="s">
        <v>3525</v>
      </c>
      <c r="B110" t="s">
        <v>1152</v>
      </c>
      <c r="C110" s="2" t="s">
        <v>250</v>
      </c>
      <c r="E110">
        <v>25930.01</v>
      </c>
      <c r="H110">
        <v>0.46700000000000003</v>
      </c>
      <c r="I110" t="s">
        <v>3265</v>
      </c>
    </row>
    <row r="111" spans="1:9">
      <c r="A111" t="s">
        <v>3525</v>
      </c>
      <c r="B111" t="s">
        <v>1152</v>
      </c>
      <c r="C111" s="2" t="s">
        <v>249</v>
      </c>
      <c r="E111">
        <v>26060.65</v>
      </c>
      <c r="H111">
        <v>1.085</v>
      </c>
      <c r="I111" t="s">
        <v>3265</v>
      </c>
    </row>
    <row r="112" spans="1:9">
      <c r="A112" t="s">
        <v>3525</v>
      </c>
      <c r="B112" t="s">
        <v>1152</v>
      </c>
      <c r="C112" s="2" t="s">
        <v>251</v>
      </c>
      <c r="E112">
        <v>26165.79</v>
      </c>
      <c r="H112">
        <v>1.2450000000000001</v>
      </c>
      <c r="I112" t="s">
        <v>3265</v>
      </c>
    </row>
    <row r="113" spans="1:9">
      <c r="A113" t="s">
        <v>3525</v>
      </c>
      <c r="B113" t="s">
        <v>1152</v>
      </c>
      <c r="C113" s="2" t="s">
        <v>252</v>
      </c>
      <c r="E113">
        <v>26440.33</v>
      </c>
      <c r="H113">
        <v>1.3340000000000001</v>
      </c>
      <c r="I113" t="s">
        <v>3265</v>
      </c>
    </row>
    <row r="114" spans="1:9">
      <c r="A114" t="s">
        <v>3525</v>
      </c>
      <c r="B114" t="s">
        <v>1179</v>
      </c>
      <c r="C114" s="2" t="s">
        <v>248</v>
      </c>
      <c r="E114">
        <v>26552.400000000001</v>
      </c>
      <c r="H114">
        <v>2.4409999999999998</v>
      </c>
      <c r="I114" t="s">
        <v>3265</v>
      </c>
    </row>
    <row r="115" spans="1:9">
      <c r="A115" t="s">
        <v>3525</v>
      </c>
      <c r="B115" t="s">
        <v>1179</v>
      </c>
      <c r="C115" s="2" t="s">
        <v>250</v>
      </c>
      <c r="E115">
        <v>26713.32</v>
      </c>
      <c r="H115">
        <v>1.45</v>
      </c>
      <c r="I115" t="s">
        <v>3265</v>
      </c>
    </row>
    <row r="116" spans="1:9">
      <c r="A116" t="s">
        <v>3525</v>
      </c>
      <c r="B116" t="s">
        <v>1179</v>
      </c>
      <c r="C116" s="2" t="s">
        <v>249</v>
      </c>
      <c r="E116">
        <v>26983.34</v>
      </c>
      <c r="H116">
        <v>1.6180000000000001</v>
      </c>
      <c r="I116" t="s">
        <v>3265</v>
      </c>
    </row>
    <row r="117" spans="1:9">
      <c r="A117" t="s">
        <v>3525</v>
      </c>
      <c r="B117" t="s">
        <v>1179</v>
      </c>
      <c r="C117" s="2" t="s">
        <v>251</v>
      </c>
      <c r="E117">
        <v>27427.07</v>
      </c>
      <c r="H117">
        <v>1.5669999999999999</v>
      </c>
      <c r="I117" t="s">
        <v>3265</v>
      </c>
    </row>
    <row r="118" spans="1:9">
      <c r="A118" t="s">
        <v>3525</v>
      </c>
      <c r="B118" t="s">
        <v>1179</v>
      </c>
      <c r="C118" s="2" t="s">
        <v>252</v>
      </c>
      <c r="E118">
        <v>27974.87</v>
      </c>
      <c r="H118">
        <v>1.542</v>
      </c>
      <c r="I118" t="s">
        <v>3265</v>
      </c>
    </row>
    <row r="119" spans="1:9">
      <c r="A119" t="s">
        <v>3525</v>
      </c>
      <c r="B119" t="s">
        <v>1161</v>
      </c>
      <c r="C119" s="2" t="s">
        <v>248</v>
      </c>
      <c r="E119">
        <v>26717.73</v>
      </c>
      <c r="H119">
        <v>1.141</v>
      </c>
      <c r="I119" t="s">
        <v>3265</v>
      </c>
    </row>
    <row r="120" spans="1:9">
      <c r="A120" t="s">
        <v>3525</v>
      </c>
      <c r="B120" t="s">
        <v>1161</v>
      </c>
      <c r="C120" s="2" t="s">
        <v>250</v>
      </c>
      <c r="E120">
        <v>26936.86</v>
      </c>
      <c r="H120">
        <v>1.292</v>
      </c>
      <c r="I120" t="s">
        <v>3265</v>
      </c>
    </row>
    <row r="121" spans="1:9">
      <c r="A121" t="s">
        <v>3525</v>
      </c>
      <c r="B121" t="s">
        <v>1161</v>
      </c>
      <c r="C121" s="2" t="s">
        <v>249</v>
      </c>
      <c r="E121">
        <v>27359.7</v>
      </c>
      <c r="H121">
        <v>1.32</v>
      </c>
      <c r="I121" t="s">
        <v>3265</v>
      </c>
    </row>
    <row r="122" spans="1:9">
      <c r="A122" t="s">
        <v>3525</v>
      </c>
      <c r="B122" t="s">
        <v>1161</v>
      </c>
      <c r="C122" s="2" t="s">
        <v>251</v>
      </c>
      <c r="E122">
        <v>27596.74</v>
      </c>
      <c r="H122">
        <v>1.4219999999999999</v>
      </c>
      <c r="I122" t="s">
        <v>3265</v>
      </c>
    </row>
    <row r="123" spans="1:9">
      <c r="A123" t="s">
        <v>3528</v>
      </c>
      <c r="B123" t="s">
        <v>1158</v>
      </c>
      <c r="C123" s="2" t="s">
        <v>251</v>
      </c>
      <c r="E123">
        <v>26896.68</v>
      </c>
      <c r="H123">
        <v>1.0129999999999999</v>
      </c>
      <c r="I123" t="s">
        <v>3265</v>
      </c>
    </row>
    <row r="124" spans="1:9">
      <c r="A124" t="s">
        <v>3528</v>
      </c>
      <c r="B124" t="s">
        <v>1158</v>
      </c>
      <c r="C124" s="2" t="s">
        <v>252</v>
      </c>
      <c r="E124">
        <v>27331.8</v>
      </c>
      <c r="H124">
        <v>1.0780000000000001</v>
      </c>
      <c r="I124" t="s">
        <v>3265</v>
      </c>
    </row>
    <row r="125" spans="1:9">
      <c r="A125" t="s">
        <v>3529</v>
      </c>
      <c r="B125" t="s">
        <v>1184</v>
      </c>
      <c r="C125" s="2" t="s">
        <v>248</v>
      </c>
      <c r="E125">
        <v>27498.94</v>
      </c>
      <c r="H125">
        <v>2.4670000000000001</v>
      </c>
      <c r="I125" t="s">
        <v>3265</v>
      </c>
    </row>
    <row r="126" spans="1:9">
      <c r="A126" t="s">
        <v>3529</v>
      </c>
      <c r="B126" t="s">
        <v>1184</v>
      </c>
      <c r="C126" s="2" t="s">
        <v>250</v>
      </c>
      <c r="E126">
        <v>27782.57</v>
      </c>
      <c r="H126">
        <v>1.66</v>
      </c>
      <c r="I126" t="s">
        <v>3265</v>
      </c>
    </row>
    <row r="127" spans="1:9">
      <c r="A127" t="s">
        <v>3529</v>
      </c>
      <c r="B127" t="s">
        <v>1184</v>
      </c>
      <c r="C127" s="2" t="s">
        <v>249</v>
      </c>
      <c r="E127">
        <v>28445.33</v>
      </c>
      <c r="H127">
        <v>1.6060000000000001</v>
      </c>
      <c r="I127" t="s">
        <v>3265</v>
      </c>
    </row>
    <row r="128" spans="1:9">
      <c r="B128" t="s">
        <v>3530</v>
      </c>
      <c r="C128" s="2" t="s">
        <v>249</v>
      </c>
      <c r="E128">
        <v>27614.1</v>
      </c>
      <c r="H128">
        <v>1.37</v>
      </c>
      <c r="I128" t="s">
        <v>3265</v>
      </c>
    </row>
    <row r="129" spans="1:9">
      <c r="A129" t="s">
        <v>3529</v>
      </c>
      <c r="B129" t="s">
        <v>1221</v>
      </c>
      <c r="C129" s="2" t="s">
        <v>248</v>
      </c>
      <c r="E129">
        <v>27666.46</v>
      </c>
      <c r="H129">
        <v>0.222</v>
      </c>
      <c r="I129" t="s">
        <v>3265</v>
      </c>
    </row>
    <row r="130" spans="1:9">
      <c r="A130" t="s">
        <v>3529</v>
      </c>
      <c r="B130" t="s">
        <v>1221</v>
      </c>
      <c r="C130" s="2" t="s">
        <v>250</v>
      </c>
      <c r="E130">
        <v>28079.09</v>
      </c>
      <c r="H130">
        <v>1.4430000000000001</v>
      </c>
      <c r="I130" t="s">
        <v>3265</v>
      </c>
    </row>
    <row r="131" spans="1:9">
      <c r="A131" t="s">
        <v>3529</v>
      </c>
      <c r="B131" t="s">
        <v>1221</v>
      </c>
      <c r="C131" s="2" t="s">
        <v>249</v>
      </c>
      <c r="E131">
        <v>28549.42</v>
      </c>
      <c r="H131">
        <v>1.472</v>
      </c>
      <c r="I131" t="s">
        <v>3265</v>
      </c>
    </row>
    <row r="132" spans="1:9">
      <c r="A132" t="s">
        <v>3529</v>
      </c>
      <c r="B132" t="s">
        <v>1221</v>
      </c>
      <c r="C132" s="2" t="s">
        <v>251</v>
      </c>
      <c r="E132">
        <v>29209.42</v>
      </c>
      <c r="H132">
        <v>1.2410000000000001</v>
      </c>
      <c r="I132" t="s">
        <v>3265</v>
      </c>
    </row>
    <row r="133" spans="1:9">
      <c r="A133" t="s">
        <v>3524</v>
      </c>
      <c r="B133" t="s">
        <v>1174</v>
      </c>
      <c r="C133" s="2" t="s">
        <v>249</v>
      </c>
      <c r="E133">
        <v>27797.439999999999</v>
      </c>
      <c r="H133">
        <v>1.1599999999999999</v>
      </c>
      <c r="I133" t="s">
        <v>3265</v>
      </c>
    </row>
    <row r="134" spans="1:9">
      <c r="A134" t="s">
        <v>3524</v>
      </c>
      <c r="B134" t="s">
        <v>1174</v>
      </c>
      <c r="C134" s="2" t="s">
        <v>251</v>
      </c>
      <c r="E134">
        <v>28535.360000000001</v>
      </c>
      <c r="H134">
        <v>1.1200000000000001</v>
      </c>
      <c r="I134" t="s">
        <v>3265</v>
      </c>
    </row>
    <row r="135" spans="1:9">
      <c r="A135" t="s">
        <v>3524</v>
      </c>
      <c r="B135" t="s">
        <v>1243</v>
      </c>
      <c r="C135" s="2" t="s">
        <v>251</v>
      </c>
      <c r="E135">
        <v>27855.13</v>
      </c>
      <c r="H135">
        <v>0.92</v>
      </c>
      <c r="I135" t="s">
        <v>3265</v>
      </c>
    </row>
    <row r="136" spans="1:9">
      <c r="A136" t="s">
        <v>3524</v>
      </c>
      <c r="B136" t="s">
        <v>1243</v>
      </c>
      <c r="C136" s="2" t="s">
        <v>252</v>
      </c>
      <c r="E136">
        <v>28433.74</v>
      </c>
      <c r="H136">
        <v>1.1200000000000001</v>
      </c>
      <c r="I136" t="s">
        <v>3265</v>
      </c>
    </row>
    <row r="137" spans="1:9">
      <c r="B137" t="s">
        <v>1234</v>
      </c>
      <c r="C137" s="2" t="s">
        <v>250</v>
      </c>
      <c r="E137">
        <v>27918.85</v>
      </c>
      <c r="H137">
        <v>1.45</v>
      </c>
      <c r="I137" t="s">
        <v>3265</v>
      </c>
    </row>
    <row r="138" spans="1:9">
      <c r="B138" t="s">
        <v>1234</v>
      </c>
      <c r="C138" s="2" t="s">
        <v>248</v>
      </c>
      <c r="E138">
        <v>28442.16</v>
      </c>
      <c r="H138">
        <v>0.77200000000000002</v>
      </c>
      <c r="I138" t="s">
        <v>3265</v>
      </c>
    </row>
    <row r="139" spans="1:9">
      <c r="A139" t="s">
        <v>3526</v>
      </c>
      <c r="B139" t="s">
        <v>2256</v>
      </c>
      <c r="C139" s="2" t="s">
        <v>250</v>
      </c>
      <c r="E139">
        <v>28208.48</v>
      </c>
      <c r="H139">
        <v>1.794</v>
      </c>
      <c r="I139" t="s">
        <v>3265</v>
      </c>
    </row>
    <row r="140" spans="1:9">
      <c r="A140" t="s">
        <v>3527</v>
      </c>
      <c r="B140" t="s">
        <v>1182</v>
      </c>
      <c r="C140" s="2" t="s">
        <v>250</v>
      </c>
      <c r="E140">
        <v>28278.25</v>
      </c>
      <c r="H140">
        <v>1.9810000000000001</v>
      </c>
      <c r="I140" t="s">
        <v>3265</v>
      </c>
    </row>
    <row r="141" spans="1:9">
      <c r="A141" t="s">
        <v>3527</v>
      </c>
      <c r="B141" t="s">
        <v>1182</v>
      </c>
      <c r="C141" s="2" t="s">
        <v>249</v>
      </c>
      <c r="E141">
        <v>28652.66</v>
      </c>
      <c r="H141">
        <v>1.768</v>
      </c>
      <c r="I141" t="s">
        <v>3265</v>
      </c>
    </row>
    <row r="142" spans="1:9">
      <c r="A142" t="s">
        <v>3527</v>
      </c>
      <c r="B142" t="s">
        <v>1182</v>
      </c>
      <c r="C142" s="2" t="s">
        <v>251</v>
      </c>
      <c r="E142">
        <v>28973.119999999999</v>
      </c>
      <c r="H142">
        <v>1.7010000000000001</v>
      </c>
      <c r="I142" t="s">
        <v>3265</v>
      </c>
    </row>
    <row r="143" spans="1:9">
      <c r="A143" t="s">
        <v>3531</v>
      </c>
      <c r="B143" t="s">
        <v>1229</v>
      </c>
      <c r="C143" s="2" t="s">
        <v>251</v>
      </c>
      <c r="E143">
        <v>29271.99</v>
      </c>
      <c r="H143">
        <v>0.89</v>
      </c>
      <c r="I143" t="s">
        <v>3265</v>
      </c>
    </row>
    <row r="144" spans="1:9">
      <c r="A144" t="s">
        <v>3531</v>
      </c>
      <c r="B144" t="s">
        <v>1229</v>
      </c>
      <c r="C144" s="2" t="s">
        <v>252</v>
      </c>
      <c r="E144">
        <v>29519.05</v>
      </c>
      <c r="H144">
        <v>1.01</v>
      </c>
      <c r="I144" t="s">
        <v>3265</v>
      </c>
    </row>
    <row r="145" spans="1:9">
      <c r="A145" t="s">
        <v>3531</v>
      </c>
      <c r="B145" t="s">
        <v>1229</v>
      </c>
      <c r="C145" s="2" t="s">
        <v>1702</v>
      </c>
      <c r="E145">
        <v>29846.5</v>
      </c>
      <c r="H145">
        <v>1.1499999999999999</v>
      </c>
      <c r="I145" t="s">
        <v>3265</v>
      </c>
    </row>
    <row r="146" spans="1:9">
      <c r="A146" t="s">
        <v>3531</v>
      </c>
      <c r="B146" t="s">
        <v>1229</v>
      </c>
      <c r="C146" s="2" t="s">
        <v>720</v>
      </c>
      <c r="E146">
        <v>30191.25</v>
      </c>
      <c r="H146">
        <v>1.23</v>
      </c>
      <c r="I146" t="s">
        <v>3265</v>
      </c>
    </row>
    <row r="147" spans="1:9">
      <c r="A147" t="s">
        <v>3528</v>
      </c>
      <c r="B147" t="s">
        <v>1189</v>
      </c>
      <c r="C147" s="2" t="s">
        <v>249</v>
      </c>
      <c r="E147">
        <v>29359.58</v>
      </c>
      <c r="H147">
        <v>0.69299999999999995</v>
      </c>
      <c r="I147" t="s">
        <v>3265</v>
      </c>
    </row>
    <row r="148" spans="1:9">
      <c r="A148" t="s">
        <v>3528</v>
      </c>
      <c r="B148" t="s">
        <v>1189</v>
      </c>
      <c r="C148" s="2" t="s">
        <v>251</v>
      </c>
      <c r="E148">
        <v>29762.7</v>
      </c>
      <c r="H148">
        <v>0.999</v>
      </c>
      <c r="I148" t="s">
        <v>3265</v>
      </c>
    </row>
    <row r="149" spans="1:9">
      <c r="A149" t="s">
        <v>3528</v>
      </c>
      <c r="B149" t="s">
        <v>1189</v>
      </c>
      <c r="C149" s="2" t="s">
        <v>252</v>
      </c>
      <c r="E149">
        <v>30117.32</v>
      </c>
      <c r="H149">
        <v>1.276</v>
      </c>
      <c r="I149" t="s">
        <v>3265</v>
      </c>
    </row>
    <row r="150" spans="1:9">
      <c r="A150" t="s">
        <v>3528</v>
      </c>
      <c r="B150" t="s">
        <v>1189</v>
      </c>
      <c r="C150" s="2" t="s">
        <v>1702</v>
      </c>
      <c r="E150">
        <v>30657.599999999999</v>
      </c>
      <c r="H150">
        <v>1.25</v>
      </c>
      <c r="I150" t="s">
        <v>3265</v>
      </c>
    </row>
    <row r="151" spans="1:9">
      <c r="A151" t="s">
        <v>3524</v>
      </c>
      <c r="B151" t="s">
        <v>2404</v>
      </c>
      <c r="C151" s="2" t="s">
        <v>250</v>
      </c>
      <c r="E151">
        <v>29622.73</v>
      </c>
      <c r="H151">
        <v>0.81</v>
      </c>
      <c r="I151" t="s">
        <v>3265</v>
      </c>
    </row>
    <row r="152" spans="1:9">
      <c r="A152" t="s">
        <v>3524</v>
      </c>
      <c r="B152" t="s">
        <v>2404</v>
      </c>
      <c r="C152" s="2" t="s">
        <v>249</v>
      </c>
      <c r="E152">
        <v>29775.8</v>
      </c>
      <c r="H152">
        <v>1.3480000000000001</v>
      </c>
      <c r="I152" t="s">
        <v>3265</v>
      </c>
    </row>
    <row r="153" spans="1:9">
      <c r="A153" t="s">
        <v>3532</v>
      </c>
      <c r="B153" t="s">
        <v>1196</v>
      </c>
      <c r="C153" s="2" t="s">
        <v>250</v>
      </c>
      <c r="E153">
        <v>29779.439999999999</v>
      </c>
      <c r="H153">
        <v>0.42</v>
      </c>
      <c r="I153" t="s">
        <v>3265</v>
      </c>
    </row>
    <row r="154" spans="1:9">
      <c r="A154" t="s">
        <v>3532</v>
      </c>
      <c r="B154" t="s">
        <v>1196</v>
      </c>
      <c r="C154" s="2" t="s">
        <v>249</v>
      </c>
      <c r="E154">
        <v>29987.45</v>
      </c>
      <c r="H154">
        <v>1.006</v>
      </c>
      <c r="I154" t="s">
        <v>3265</v>
      </c>
    </row>
    <row r="155" spans="1:9">
      <c r="A155" t="s">
        <v>3532</v>
      </c>
      <c r="B155" t="s">
        <v>1196</v>
      </c>
      <c r="C155" s="2" t="s">
        <v>251</v>
      </c>
      <c r="E155">
        <v>30161.56</v>
      </c>
      <c r="H155">
        <v>1.18</v>
      </c>
      <c r="I155" t="s">
        <v>3265</v>
      </c>
    </row>
    <row r="156" spans="1:9">
      <c r="A156" t="s">
        <v>3532</v>
      </c>
      <c r="B156" t="s">
        <v>1196</v>
      </c>
      <c r="C156" s="2" t="s">
        <v>252</v>
      </c>
      <c r="E156">
        <v>30279.23</v>
      </c>
      <c r="H156">
        <v>1.2</v>
      </c>
      <c r="I156" t="s">
        <v>3265</v>
      </c>
    </row>
    <row r="157" spans="1:9">
      <c r="A157" t="s">
        <v>3527</v>
      </c>
      <c r="B157" t="s">
        <v>1194</v>
      </c>
      <c r="C157" s="2" t="s">
        <v>249</v>
      </c>
      <c r="E157">
        <v>30059.599999999999</v>
      </c>
      <c r="I157" t="s">
        <v>3265</v>
      </c>
    </row>
    <row r="158" spans="1:9">
      <c r="A158" t="s">
        <v>3533</v>
      </c>
      <c r="B158" t="s">
        <v>1249</v>
      </c>
      <c r="C158" s="2" t="s">
        <v>249</v>
      </c>
      <c r="E158">
        <v>30716.5</v>
      </c>
      <c r="H158">
        <v>0.89100000000000001</v>
      </c>
      <c r="I158" t="s">
        <v>3265</v>
      </c>
    </row>
    <row r="159" spans="1:9">
      <c r="A159" t="s">
        <v>3533</v>
      </c>
      <c r="B159" t="s">
        <v>1249</v>
      </c>
      <c r="C159" s="2" t="s">
        <v>251</v>
      </c>
      <c r="E159">
        <v>31025.52</v>
      </c>
      <c r="H159">
        <v>1.139</v>
      </c>
      <c r="I159" t="s">
        <v>3265</v>
      </c>
    </row>
    <row r="160" spans="1:9">
      <c r="B160" t="s">
        <v>3534</v>
      </c>
      <c r="C160" s="2" t="s">
        <v>252</v>
      </c>
      <c r="E160">
        <v>30940.02</v>
      </c>
      <c r="G160">
        <v>0.01</v>
      </c>
      <c r="I160" t="s">
        <v>3521</v>
      </c>
    </row>
    <row r="161" spans="1:9">
      <c r="A161" t="s">
        <v>3520</v>
      </c>
      <c r="B161" t="s">
        <v>1207</v>
      </c>
      <c r="C161" s="2" t="s">
        <v>249</v>
      </c>
      <c r="E161">
        <v>31056.6</v>
      </c>
      <c r="H161">
        <v>0.63</v>
      </c>
      <c r="I161" t="s">
        <v>3265</v>
      </c>
    </row>
    <row r="162" spans="1:9">
      <c r="A162" t="s">
        <v>3520</v>
      </c>
      <c r="B162" t="s">
        <v>1207</v>
      </c>
      <c r="C162" s="2" t="s">
        <v>251</v>
      </c>
      <c r="E162">
        <v>31485.200000000001</v>
      </c>
      <c r="H162">
        <v>1.012</v>
      </c>
      <c r="I162" t="s">
        <v>3265</v>
      </c>
    </row>
    <row r="163" spans="1:9">
      <c r="A163" t="s">
        <v>3520</v>
      </c>
      <c r="B163" t="s">
        <v>1207</v>
      </c>
      <c r="C163" s="2" t="s">
        <v>252</v>
      </c>
      <c r="E163">
        <v>32004.63</v>
      </c>
      <c r="H163">
        <v>1.1599999999999999</v>
      </c>
      <c r="I163" t="s">
        <v>3265</v>
      </c>
    </row>
    <row r="164" spans="1:9">
      <c r="A164" t="s">
        <v>3520</v>
      </c>
      <c r="B164" t="s">
        <v>1207</v>
      </c>
      <c r="C164" s="2" t="s">
        <v>1702</v>
      </c>
      <c r="E164">
        <v>32572.720000000001</v>
      </c>
      <c r="H164">
        <v>1.24</v>
      </c>
      <c r="I164" t="s">
        <v>3265</v>
      </c>
    </row>
    <row r="165" spans="1:9">
      <c r="A165" t="s">
        <v>3529</v>
      </c>
      <c r="B165" t="s">
        <v>1282</v>
      </c>
      <c r="C165" s="2" t="s">
        <v>250</v>
      </c>
      <c r="E165">
        <v>31174.65</v>
      </c>
      <c r="H165">
        <v>1.9570000000000001</v>
      </c>
      <c r="I165" t="s">
        <v>3265</v>
      </c>
    </row>
    <row r="166" spans="1:9">
      <c r="A166" t="s">
        <v>3535</v>
      </c>
      <c r="B166" t="s">
        <v>3536</v>
      </c>
      <c r="C166" s="2" t="s">
        <v>1702</v>
      </c>
      <c r="E166">
        <v>31378.58</v>
      </c>
      <c r="I166" t="s">
        <v>3523</v>
      </c>
    </row>
    <row r="167" spans="1:9">
      <c r="A167" t="s">
        <v>3520</v>
      </c>
      <c r="B167" t="s">
        <v>1238</v>
      </c>
      <c r="C167" s="2" t="s">
        <v>250</v>
      </c>
      <c r="E167">
        <v>31551.46</v>
      </c>
      <c r="H167">
        <v>0.501</v>
      </c>
      <c r="I167" t="s">
        <v>3265</v>
      </c>
    </row>
    <row r="168" spans="1:9">
      <c r="A168" t="s">
        <v>3520</v>
      </c>
      <c r="B168" t="s">
        <v>1238</v>
      </c>
      <c r="C168" s="2" t="s">
        <v>249</v>
      </c>
      <c r="E168">
        <v>32013.4</v>
      </c>
      <c r="H168">
        <v>1.01</v>
      </c>
      <c r="I168" t="s">
        <v>3265</v>
      </c>
    </row>
    <row r="169" spans="1:9">
      <c r="A169" t="s">
        <v>3520</v>
      </c>
      <c r="B169" t="s">
        <v>1238</v>
      </c>
      <c r="C169" s="2" t="s">
        <v>251</v>
      </c>
      <c r="E169">
        <v>32333.18</v>
      </c>
      <c r="H169">
        <v>1.1990000000000001</v>
      </c>
      <c r="I169" t="s">
        <v>3265</v>
      </c>
    </row>
    <row r="170" spans="1:9">
      <c r="A170" t="s">
        <v>3520</v>
      </c>
      <c r="B170" t="s">
        <v>1238</v>
      </c>
      <c r="C170" s="2" t="s">
        <v>252</v>
      </c>
      <c r="E170">
        <v>32923.870000000003</v>
      </c>
      <c r="H170">
        <v>1.24</v>
      </c>
      <c r="I170" t="s">
        <v>3265</v>
      </c>
    </row>
    <row r="171" spans="1:9">
      <c r="A171" t="s">
        <v>3537</v>
      </c>
      <c r="B171" t="s">
        <v>1296</v>
      </c>
      <c r="C171" s="2" t="s">
        <v>249</v>
      </c>
      <c r="I171" t="s">
        <v>3265</v>
      </c>
    </row>
    <row r="172" spans="1:9">
      <c r="A172" t="s">
        <v>3537</v>
      </c>
      <c r="B172" t="s">
        <v>1296</v>
      </c>
      <c r="C172" s="2" t="s">
        <v>251</v>
      </c>
      <c r="E172">
        <v>31687.53</v>
      </c>
      <c r="F172" t="s">
        <v>34</v>
      </c>
      <c r="H172">
        <v>1.2</v>
      </c>
      <c r="I172" t="s">
        <v>3265</v>
      </c>
    </row>
    <row r="173" spans="1:9">
      <c r="A173" t="s">
        <v>3538</v>
      </c>
      <c r="B173" t="s">
        <v>2399</v>
      </c>
      <c r="C173" s="2" t="s">
        <v>250</v>
      </c>
      <c r="E173">
        <v>31707.94</v>
      </c>
      <c r="H173">
        <v>0.8</v>
      </c>
      <c r="I173" t="s">
        <v>3265</v>
      </c>
    </row>
    <row r="174" spans="1:9">
      <c r="A174" t="s">
        <v>3538</v>
      </c>
      <c r="B174" t="s">
        <v>2399</v>
      </c>
      <c r="C174" s="2" t="s">
        <v>249</v>
      </c>
      <c r="E174">
        <v>31807.55</v>
      </c>
      <c r="H174">
        <v>1.048</v>
      </c>
      <c r="I174" t="s">
        <v>3265</v>
      </c>
    </row>
    <row r="175" spans="1:9">
      <c r="A175" t="s">
        <v>3538</v>
      </c>
      <c r="B175" t="s">
        <v>2399</v>
      </c>
      <c r="C175" s="2" t="s">
        <v>251</v>
      </c>
      <c r="E175">
        <v>31973.24</v>
      </c>
      <c r="H175">
        <v>1.343</v>
      </c>
      <c r="I175" t="s">
        <v>3265</v>
      </c>
    </row>
    <row r="176" spans="1:9">
      <c r="A176" t="s">
        <v>3538</v>
      </c>
      <c r="B176" t="s">
        <v>2399</v>
      </c>
      <c r="C176" s="2" t="s">
        <v>252</v>
      </c>
      <c r="E176">
        <v>32605.39</v>
      </c>
      <c r="H176">
        <v>1.216</v>
      </c>
      <c r="I176" t="s">
        <v>3265</v>
      </c>
    </row>
    <row r="177" spans="1:9">
      <c r="A177" t="s">
        <v>3537</v>
      </c>
      <c r="B177" t="s">
        <v>2634</v>
      </c>
      <c r="C177" s="2" t="s">
        <v>251</v>
      </c>
      <c r="E177">
        <v>31800.74</v>
      </c>
      <c r="H177">
        <v>0.90600000000000003</v>
      </c>
      <c r="I177" t="s">
        <v>3265</v>
      </c>
    </row>
    <row r="178" spans="1:9">
      <c r="A178" t="s">
        <v>3537</v>
      </c>
      <c r="B178" t="s">
        <v>2634</v>
      </c>
      <c r="C178" s="2" t="s">
        <v>252</v>
      </c>
      <c r="E178">
        <v>32213.94</v>
      </c>
      <c r="H178">
        <v>1.0920000000000001</v>
      </c>
      <c r="I178" t="s">
        <v>3265</v>
      </c>
    </row>
    <row r="179" spans="1:9">
      <c r="A179" t="s">
        <v>3539</v>
      </c>
      <c r="B179" t="s">
        <v>1373</v>
      </c>
      <c r="C179" s="2" t="s">
        <v>250</v>
      </c>
      <c r="E179">
        <v>31907.74</v>
      </c>
      <c r="H179">
        <v>0.79100000000000004</v>
      </c>
      <c r="I179" t="s">
        <v>3265</v>
      </c>
    </row>
    <row r="180" spans="1:9">
      <c r="A180" t="s">
        <v>3539</v>
      </c>
      <c r="B180" t="s">
        <v>1373</v>
      </c>
      <c r="C180" s="2" t="s">
        <v>249</v>
      </c>
      <c r="E180">
        <v>32139.78</v>
      </c>
      <c r="H180">
        <v>1.0349999999999999</v>
      </c>
      <c r="I180" t="s">
        <v>3265</v>
      </c>
    </row>
    <row r="181" spans="1:9">
      <c r="A181" t="s">
        <v>3539</v>
      </c>
      <c r="B181" t="s">
        <v>1373</v>
      </c>
      <c r="C181" s="2" t="s">
        <v>251</v>
      </c>
      <c r="E181">
        <v>32451.99</v>
      </c>
      <c r="H181">
        <v>1.115</v>
      </c>
      <c r="I181" t="s">
        <v>3265</v>
      </c>
    </row>
    <row r="182" spans="1:9">
      <c r="A182" t="s">
        <v>3539</v>
      </c>
      <c r="B182" t="s">
        <v>1373</v>
      </c>
      <c r="C182" s="2" t="s">
        <v>252</v>
      </c>
      <c r="E182">
        <v>33136.300000000003</v>
      </c>
      <c r="H182">
        <v>1.24</v>
      </c>
      <c r="I182" t="s">
        <v>3265</v>
      </c>
    </row>
    <row r="183" spans="1:9">
      <c r="A183" t="s">
        <v>3540</v>
      </c>
      <c r="B183" t="s">
        <v>1324</v>
      </c>
      <c r="C183" s="2" t="s">
        <v>249</v>
      </c>
      <c r="E183">
        <v>31933.68</v>
      </c>
      <c r="H183">
        <v>0.98199999999999998</v>
      </c>
      <c r="I183" t="s">
        <v>3265</v>
      </c>
    </row>
    <row r="184" spans="1:9">
      <c r="A184" t="s">
        <v>3540</v>
      </c>
      <c r="B184" t="s">
        <v>1324</v>
      </c>
      <c r="C184" s="2" t="s">
        <v>251</v>
      </c>
      <c r="E184">
        <v>32087.58</v>
      </c>
      <c r="H184">
        <v>1.0740000000000001</v>
      </c>
      <c r="I184" t="s">
        <v>3265</v>
      </c>
    </row>
    <row r="185" spans="1:9">
      <c r="A185" t="s">
        <v>3526</v>
      </c>
      <c r="B185" t="s">
        <v>1255</v>
      </c>
      <c r="C185" s="2" t="s">
        <v>248</v>
      </c>
      <c r="E185">
        <v>32066.06</v>
      </c>
      <c r="H185">
        <v>4.5999999999999999E-2</v>
      </c>
      <c r="I185" t="s">
        <v>3265</v>
      </c>
    </row>
    <row r="186" spans="1:9">
      <c r="A186" t="s">
        <v>3526</v>
      </c>
      <c r="B186" t="s">
        <v>1255</v>
      </c>
      <c r="C186" s="2" t="s">
        <v>250</v>
      </c>
      <c r="E186">
        <v>32248.69</v>
      </c>
      <c r="H186">
        <v>1.1839999999999999</v>
      </c>
      <c r="I186" t="s">
        <v>3265</v>
      </c>
    </row>
    <row r="187" spans="1:9">
      <c r="A187" t="s">
        <v>3526</v>
      </c>
      <c r="B187" t="s">
        <v>1255</v>
      </c>
      <c r="C187" s="2" t="s">
        <v>249</v>
      </c>
      <c r="E187">
        <v>32545.52</v>
      </c>
      <c r="H187">
        <v>1.32</v>
      </c>
      <c r="I187" t="s">
        <v>3265</v>
      </c>
    </row>
    <row r="188" spans="1:9">
      <c r="A188" t="s">
        <v>3526</v>
      </c>
      <c r="B188" t="s">
        <v>1255</v>
      </c>
      <c r="C188" s="2" t="s">
        <v>251</v>
      </c>
      <c r="E188">
        <v>33003.89</v>
      </c>
      <c r="H188">
        <v>1.341</v>
      </c>
      <c r="I188" t="s">
        <v>3265</v>
      </c>
    </row>
    <row r="189" spans="1:9">
      <c r="A189" t="s">
        <v>3528</v>
      </c>
      <c r="B189" t="s">
        <v>1319</v>
      </c>
      <c r="C189" s="2" t="s">
        <v>252</v>
      </c>
      <c r="E189">
        <v>32156</v>
      </c>
      <c r="H189">
        <v>0.83499999999999996</v>
      </c>
      <c r="I189" t="s">
        <v>3265</v>
      </c>
    </row>
    <row r="190" spans="1:9">
      <c r="A190" t="s">
        <v>3528</v>
      </c>
      <c r="B190" t="s">
        <v>1319</v>
      </c>
      <c r="C190" s="2" t="s">
        <v>1702</v>
      </c>
      <c r="E190">
        <v>32382.240000000002</v>
      </c>
      <c r="H190">
        <v>0.99299999999999999</v>
      </c>
      <c r="I190" t="s">
        <v>3265</v>
      </c>
    </row>
    <row r="191" spans="1:9">
      <c r="A191" t="s">
        <v>3528</v>
      </c>
      <c r="B191" t="s">
        <v>1319</v>
      </c>
      <c r="C191" s="2" t="s">
        <v>720</v>
      </c>
      <c r="E191">
        <v>32672.39</v>
      </c>
      <c r="H191">
        <v>1.08</v>
      </c>
      <c r="I191" t="s">
        <v>3265</v>
      </c>
    </row>
    <row r="192" spans="1:9">
      <c r="A192" t="s">
        <v>3532</v>
      </c>
      <c r="B192" t="s">
        <v>1299</v>
      </c>
      <c r="C192" s="2" t="s">
        <v>249</v>
      </c>
      <c r="I192" t="s">
        <v>3265</v>
      </c>
    </row>
    <row r="193" spans="1:9">
      <c r="A193" t="s">
        <v>3532</v>
      </c>
      <c r="B193" t="s">
        <v>1299</v>
      </c>
      <c r="C193" s="2" t="s">
        <v>251</v>
      </c>
      <c r="E193">
        <v>32501.33</v>
      </c>
      <c r="H193">
        <v>1.06</v>
      </c>
      <c r="I193" t="s">
        <v>3265</v>
      </c>
    </row>
    <row r="194" spans="1:9">
      <c r="A194" t="s">
        <v>3532</v>
      </c>
      <c r="B194" t="s">
        <v>1299</v>
      </c>
      <c r="C194" s="2" t="s">
        <v>252</v>
      </c>
      <c r="E194">
        <v>32802.44</v>
      </c>
      <c r="H194">
        <v>1.21</v>
      </c>
      <c r="I194" t="s">
        <v>3265</v>
      </c>
    </row>
    <row r="195" spans="1:9">
      <c r="A195" t="s">
        <v>3532</v>
      </c>
      <c r="B195" t="s">
        <v>1299</v>
      </c>
      <c r="C195" s="2" t="s">
        <v>1702</v>
      </c>
      <c r="E195">
        <v>33428.199999999997</v>
      </c>
      <c r="H195">
        <v>1.27</v>
      </c>
      <c r="I195" t="s">
        <v>3265</v>
      </c>
    </row>
    <row r="196" spans="1:9">
      <c r="A196" t="s">
        <v>3541</v>
      </c>
      <c r="B196" t="s">
        <v>1293</v>
      </c>
      <c r="C196" s="2" t="s">
        <v>249</v>
      </c>
      <c r="I196" t="s">
        <v>3265</v>
      </c>
    </row>
    <row r="197" spans="1:9">
      <c r="A197" t="s">
        <v>3541</v>
      </c>
      <c r="B197" t="s">
        <v>1293</v>
      </c>
      <c r="C197" s="2" t="s">
        <v>250</v>
      </c>
      <c r="E197">
        <v>32623.02</v>
      </c>
      <c r="H197">
        <v>1</v>
      </c>
      <c r="I197" t="s">
        <v>3265</v>
      </c>
    </row>
    <row r="198" spans="1:9">
      <c r="A198" t="s">
        <v>3539</v>
      </c>
      <c r="B198" t="s">
        <v>2446</v>
      </c>
      <c r="C198" s="2" t="s">
        <v>249</v>
      </c>
      <c r="E198">
        <v>32654.48</v>
      </c>
      <c r="H198">
        <v>0.83</v>
      </c>
      <c r="I198" t="s">
        <v>3265</v>
      </c>
    </row>
    <row r="199" spans="1:9">
      <c r="A199" t="s">
        <v>3539</v>
      </c>
      <c r="B199" t="s">
        <v>2446</v>
      </c>
      <c r="C199" s="2" t="s">
        <v>251</v>
      </c>
      <c r="E199">
        <v>32899.08</v>
      </c>
      <c r="H199">
        <v>1.17</v>
      </c>
      <c r="I199" t="s">
        <v>3265</v>
      </c>
    </row>
    <row r="200" spans="1:9">
      <c r="A200" t="s">
        <v>3520</v>
      </c>
      <c r="B200" t="s">
        <v>1271</v>
      </c>
      <c r="C200" s="2" t="s">
        <v>248</v>
      </c>
      <c r="E200">
        <v>33011.449999999997</v>
      </c>
      <c r="H200">
        <v>0.46</v>
      </c>
      <c r="I200" t="s">
        <v>3265</v>
      </c>
    </row>
    <row r="201" spans="1:9">
      <c r="A201" t="s">
        <v>3520</v>
      </c>
      <c r="B201" t="s">
        <v>1271</v>
      </c>
      <c r="C201" s="2" t="s">
        <v>250</v>
      </c>
      <c r="E201">
        <v>33717.01</v>
      </c>
      <c r="H201">
        <v>1.23</v>
      </c>
      <c r="I201" t="s">
        <v>3265</v>
      </c>
    </row>
    <row r="202" spans="1:9">
      <c r="A202" t="s">
        <v>3520</v>
      </c>
      <c r="B202" t="s">
        <v>1271</v>
      </c>
      <c r="C202" s="2" t="s">
        <v>249</v>
      </c>
      <c r="E202">
        <v>33872.18</v>
      </c>
      <c r="H202">
        <v>1.35</v>
      </c>
      <c r="I202" t="s">
        <v>3265</v>
      </c>
    </row>
    <row r="203" spans="1:9">
      <c r="A203" t="s">
        <v>3520</v>
      </c>
      <c r="B203" t="s">
        <v>1271</v>
      </c>
      <c r="C203" s="2" t="s">
        <v>251</v>
      </c>
      <c r="E203">
        <v>34168.94</v>
      </c>
      <c r="H203">
        <v>1.39</v>
      </c>
      <c r="I203" t="s">
        <v>3265</v>
      </c>
    </row>
    <row r="204" spans="1:9">
      <c r="A204" t="s">
        <v>3542</v>
      </c>
      <c r="B204" t="s">
        <v>1329</v>
      </c>
      <c r="C204" s="2" t="s">
        <v>250</v>
      </c>
      <c r="E204">
        <v>33086.980000000003</v>
      </c>
      <c r="H204">
        <v>1.0580000000000001</v>
      </c>
      <c r="I204" t="s">
        <v>3265</v>
      </c>
    </row>
    <row r="205" spans="1:9">
      <c r="A205" t="s">
        <v>3542</v>
      </c>
      <c r="B205" t="s">
        <v>1329</v>
      </c>
      <c r="C205" s="2" t="s">
        <v>249</v>
      </c>
      <c r="E205">
        <v>33389.870000000003</v>
      </c>
      <c r="H205">
        <v>1.212</v>
      </c>
      <c r="I205" t="s">
        <v>3265</v>
      </c>
    </row>
    <row r="206" spans="1:9">
      <c r="A206" t="s">
        <v>3543</v>
      </c>
      <c r="B206" t="s">
        <v>1319</v>
      </c>
      <c r="C206" s="2" t="s">
        <v>1322</v>
      </c>
      <c r="E206">
        <v>33116.36</v>
      </c>
      <c r="H206">
        <v>1.19</v>
      </c>
      <c r="I206" t="s">
        <v>3265</v>
      </c>
    </row>
    <row r="207" spans="1:9">
      <c r="A207" t="s">
        <v>3529</v>
      </c>
      <c r="B207" t="s">
        <v>2649</v>
      </c>
      <c r="C207" s="2" t="s">
        <v>248</v>
      </c>
      <c r="E207">
        <v>33902.239999999998</v>
      </c>
      <c r="H207">
        <v>0.442</v>
      </c>
      <c r="I207" t="s">
        <v>3265</v>
      </c>
    </row>
    <row r="208" spans="1:9">
      <c r="A208" t="s">
        <v>3529</v>
      </c>
      <c r="B208" t="s">
        <v>2649</v>
      </c>
      <c r="C208" s="2" t="s">
        <v>250</v>
      </c>
      <c r="E208">
        <v>34252.959999999999</v>
      </c>
      <c r="I208" t="s">
        <v>3265</v>
      </c>
    </row>
    <row r="209" spans="1:9">
      <c r="A209" t="s">
        <v>3544</v>
      </c>
      <c r="B209" t="s">
        <v>1337</v>
      </c>
      <c r="C209" s="2" t="s">
        <v>1702</v>
      </c>
      <c r="E209">
        <v>34004.080000000002</v>
      </c>
      <c r="H209">
        <v>0.94599999999999995</v>
      </c>
      <c r="I209" t="s">
        <v>3265</v>
      </c>
    </row>
    <row r="210" spans="1:9">
      <c r="A210" t="s">
        <v>3544</v>
      </c>
      <c r="B210" t="s">
        <v>1337</v>
      </c>
      <c r="C210" s="2" t="s">
        <v>720</v>
      </c>
      <c r="E210">
        <v>34323.199999999997</v>
      </c>
      <c r="H210">
        <v>1.08</v>
      </c>
      <c r="I210" t="s">
        <v>3265</v>
      </c>
    </row>
    <row r="211" spans="1:9">
      <c r="A211" t="s">
        <v>3544</v>
      </c>
      <c r="B211" t="s">
        <v>2426</v>
      </c>
      <c r="C211" s="2" t="s">
        <v>252</v>
      </c>
      <c r="E211">
        <v>34235.040000000001</v>
      </c>
      <c r="H211">
        <v>1.1000000000000001</v>
      </c>
      <c r="I211" t="s">
        <v>3265</v>
      </c>
    </row>
    <row r="212" spans="1:9">
      <c r="A212" t="s">
        <v>3544</v>
      </c>
      <c r="B212" t="s">
        <v>2426</v>
      </c>
      <c r="C212" s="2" t="s">
        <v>251</v>
      </c>
      <c r="E212">
        <v>34319.089999999997</v>
      </c>
      <c r="H212">
        <v>0.87</v>
      </c>
      <c r="I212" t="s">
        <v>3265</v>
      </c>
    </row>
    <row r="213" spans="1:9">
      <c r="A213" t="s">
        <v>3528</v>
      </c>
      <c r="B213" t="s">
        <v>1252</v>
      </c>
      <c r="C213" s="2" t="s">
        <v>252</v>
      </c>
      <c r="E213">
        <v>34415.519999999997</v>
      </c>
      <c r="H213">
        <v>0.81899999999999995</v>
      </c>
      <c r="I213" t="s">
        <v>3265</v>
      </c>
    </row>
    <row r="214" spans="1:9">
      <c r="A214" t="s">
        <v>3528</v>
      </c>
      <c r="B214" t="s">
        <v>1252</v>
      </c>
      <c r="C214" s="2" t="s">
        <v>1702</v>
      </c>
      <c r="E214">
        <v>34838.33</v>
      </c>
      <c r="H214">
        <v>1.01</v>
      </c>
      <c r="I214" t="s">
        <v>3265</v>
      </c>
    </row>
    <row r="215" spans="1:9">
      <c r="A215" t="s">
        <v>3527</v>
      </c>
      <c r="B215" t="s">
        <v>1289</v>
      </c>
      <c r="C215" s="2" t="s">
        <v>248</v>
      </c>
      <c r="E215">
        <v>34644.22</v>
      </c>
      <c r="H215">
        <v>2.0499999999999998</v>
      </c>
      <c r="I215" t="s">
        <v>3265</v>
      </c>
    </row>
    <row r="216" spans="1:9">
      <c r="A216" t="s">
        <v>3527</v>
      </c>
      <c r="B216" t="s">
        <v>1289</v>
      </c>
      <c r="C216" s="2" t="s">
        <v>249</v>
      </c>
      <c r="E216">
        <v>34703.699999999997</v>
      </c>
      <c r="H216">
        <v>1.55</v>
      </c>
      <c r="I216" t="s">
        <v>3265</v>
      </c>
    </row>
    <row r="217" spans="1:9">
      <c r="A217" t="s">
        <v>3527</v>
      </c>
      <c r="B217" t="s">
        <v>1289</v>
      </c>
      <c r="C217" s="2" t="s">
        <v>250</v>
      </c>
      <c r="E217">
        <v>34867.68</v>
      </c>
      <c r="H217">
        <v>1.587</v>
      </c>
      <c r="I217" t="s">
        <v>3265</v>
      </c>
    </row>
    <row r="218" spans="1:9">
      <c r="A218" t="s">
        <v>3539</v>
      </c>
      <c r="B218" t="s">
        <v>1332</v>
      </c>
      <c r="C218" s="2" t="s">
        <v>249</v>
      </c>
      <c r="E218">
        <v>34654.79</v>
      </c>
      <c r="H218">
        <v>0.627</v>
      </c>
      <c r="I218" t="s">
        <v>3265</v>
      </c>
    </row>
    <row r="219" spans="1:9">
      <c r="A219" t="s">
        <v>3539</v>
      </c>
      <c r="B219" t="s">
        <v>1332</v>
      </c>
      <c r="C219" s="2" t="s">
        <v>251</v>
      </c>
      <c r="E219">
        <v>34853.5</v>
      </c>
      <c r="H219">
        <v>1</v>
      </c>
      <c r="I219" t="s">
        <v>3265</v>
      </c>
    </row>
    <row r="220" spans="1:9">
      <c r="A220" t="s">
        <v>3539</v>
      </c>
      <c r="B220" t="s">
        <v>1332</v>
      </c>
      <c r="C220" s="2" t="s">
        <v>252</v>
      </c>
      <c r="E220">
        <v>35156.94</v>
      </c>
      <c r="H220">
        <v>1.073</v>
      </c>
      <c r="I220" t="s">
        <v>3265</v>
      </c>
    </row>
    <row r="221" spans="1:9">
      <c r="A221" t="s">
        <v>3539</v>
      </c>
      <c r="B221" t="s">
        <v>1332</v>
      </c>
      <c r="C221" s="2" t="s">
        <v>1702</v>
      </c>
      <c r="E221">
        <v>35630.620000000003</v>
      </c>
      <c r="H221">
        <v>1.1599999999999999</v>
      </c>
      <c r="I221" t="s">
        <v>3265</v>
      </c>
    </row>
    <row r="222" spans="1:9">
      <c r="A222" t="s">
        <v>3545</v>
      </c>
      <c r="B222" t="s">
        <v>1384</v>
      </c>
      <c r="C222" s="2" t="s">
        <v>250</v>
      </c>
      <c r="E222">
        <v>34752.699999999997</v>
      </c>
      <c r="H222">
        <v>0.94799999999999995</v>
      </c>
      <c r="I222" t="s">
        <v>3265</v>
      </c>
    </row>
    <row r="223" spans="1:9">
      <c r="A223" t="s">
        <v>3545</v>
      </c>
      <c r="B223" t="s">
        <v>1384</v>
      </c>
      <c r="C223" s="2" t="s">
        <v>249</v>
      </c>
      <c r="E223">
        <v>35497.480000000003</v>
      </c>
      <c r="H223">
        <v>1.1599999999999999</v>
      </c>
      <c r="I223" t="s">
        <v>3265</v>
      </c>
    </row>
    <row r="224" spans="1:9">
      <c r="A224" t="s">
        <v>3529</v>
      </c>
      <c r="B224" t="s">
        <v>1219</v>
      </c>
      <c r="C224" s="2" t="s">
        <v>248</v>
      </c>
      <c r="E224">
        <v>34807.57</v>
      </c>
      <c r="H224">
        <v>2.08</v>
      </c>
      <c r="I224" t="s">
        <v>3265</v>
      </c>
    </row>
    <row r="225" spans="1:9">
      <c r="A225" t="s">
        <v>3542</v>
      </c>
      <c r="B225" t="s">
        <v>1432</v>
      </c>
      <c r="C225" s="2" t="s">
        <v>249</v>
      </c>
      <c r="E225">
        <v>35099.86</v>
      </c>
      <c r="H225">
        <v>0.86799999999999999</v>
      </c>
      <c r="I225" t="s">
        <v>3265</v>
      </c>
    </row>
    <row r="226" spans="1:9">
      <c r="A226" t="s">
        <v>3542</v>
      </c>
      <c r="B226" t="s">
        <v>1432</v>
      </c>
      <c r="C226" s="2" t="s">
        <v>251</v>
      </c>
      <c r="E226">
        <v>35178.82</v>
      </c>
      <c r="H226">
        <v>1.117</v>
      </c>
      <c r="I226" t="s">
        <v>3265</v>
      </c>
    </row>
    <row r="227" spans="1:9">
      <c r="A227" t="s">
        <v>3545</v>
      </c>
      <c r="B227" t="s">
        <v>1377</v>
      </c>
      <c r="C227" s="2" t="s">
        <v>250</v>
      </c>
      <c r="E227">
        <v>35119.65</v>
      </c>
      <c r="H227">
        <v>1.806</v>
      </c>
      <c r="I227" t="s">
        <v>3265</v>
      </c>
    </row>
    <row r="228" spans="1:9">
      <c r="A228" t="s">
        <v>3546</v>
      </c>
      <c r="B228" t="s">
        <v>3547</v>
      </c>
      <c r="C228" s="2" t="s">
        <v>720</v>
      </c>
      <c r="E228">
        <v>35336.769999999997</v>
      </c>
      <c r="H228">
        <v>1.1499999999999999</v>
      </c>
      <c r="I228" t="s">
        <v>3523</v>
      </c>
    </row>
    <row r="229" spans="1:9">
      <c r="A229" t="s">
        <v>3539</v>
      </c>
      <c r="B229" t="s">
        <v>1316</v>
      </c>
      <c r="C229" s="2" t="s">
        <v>1702</v>
      </c>
      <c r="E229">
        <v>35344.86</v>
      </c>
      <c r="H229">
        <v>1.125</v>
      </c>
      <c r="I229" t="s">
        <v>3265</v>
      </c>
    </row>
    <row r="230" spans="1:9">
      <c r="A230" t="s">
        <v>3539</v>
      </c>
      <c r="B230" t="s">
        <v>1316</v>
      </c>
      <c r="C230" s="2" t="s">
        <v>252</v>
      </c>
      <c r="E230">
        <v>35496.39</v>
      </c>
      <c r="H230">
        <v>0.95399999999999996</v>
      </c>
      <c r="I230" t="s">
        <v>3265</v>
      </c>
    </row>
    <row r="231" spans="1:9">
      <c r="A231" t="s">
        <v>3528</v>
      </c>
      <c r="B231" t="s">
        <v>3548</v>
      </c>
      <c r="C231" s="2" t="s">
        <v>1322</v>
      </c>
      <c r="E231">
        <v>35731.339999999997</v>
      </c>
      <c r="F231" t="s">
        <v>34</v>
      </c>
      <c r="H231">
        <v>1.24</v>
      </c>
      <c r="I231" t="s">
        <v>3523</v>
      </c>
    </row>
    <row r="232" spans="1:9">
      <c r="A232" t="s">
        <v>3532</v>
      </c>
      <c r="B232" t="s">
        <v>2703</v>
      </c>
      <c r="C232" s="2" t="s">
        <v>250</v>
      </c>
      <c r="E232">
        <v>35829.46</v>
      </c>
      <c r="H232">
        <v>0.83399999999999996</v>
      </c>
      <c r="I232" t="s">
        <v>3265</v>
      </c>
    </row>
    <row r="233" spans="1:9">
      <c r="A233" t="s">
        <v>3532</v>
      </c>
      <c r="B233" t="s">
        <v>2703</v>
      </c>
      <c r="C233" s="2" t="s">
        <v>249</v>
      </c>
      <c r="E233">
        <v>35928.35</v>
      </c>
      <c r="H233">
        <v>1.17</v>
      </c>
      <c r="I233" t="s">
        <v>3265</v>
      </c>
    </row>
    <row r="234" spans="1:9">
      <c r="A234" t="s">
        <v>3532</v>
      </c>
      <c r="B234" t="s">
        <v>1277</v>
      </c>
      <c r="C234" s="2" t="s">
        <v>248</v>
      </c>
      <c r="E234">
        <v>35920.449999999997</v>
      </c>
      <c r="H234">
        <v>1.9E-2</v>
      </c>
      <c r="I234" t="s">
        <v>3265</v>
      </c>
    </row>
    <row r="235" spans="1:9">
      <c r="A235" t="s">
        <v>3532</v>
      </c>
      <c r="B235" t="s">
        <v>1277</v>
      </c>
      <c r="C235" s="2" t="s">
        <v>250</v>
      </c>
      <c r="E235">
        <v>36016.26</v>
      </c>
      <c r="H235">
        <v>1.1950000000000001</v>
      </c>
      <c r="I235" t="s">
        <v>3265</v>
      </c>
    </row>
    <row r="236" spans="1:9">
      <c r="A236" t="s">
        <v>3532</v>
      </c>
      <c r="B236" t="s">
        <v>1277</v>
      </c>
      <c r="C236" s="2" t="s">
        <v>249</v>
      </c>
      <c r="E236">
        <v>36180.129999999997</v>
      </c>
      <c r="H236">
        <v>1.3160000000000001</v>
      </c>
      <c r="I236" t="s">
        <v>3265</v>
      </c>
    </row>
    <row r="237" spans="1:9">
      <c r="A237" t="s">
        <v>3532</v>
      </c>
      <c r="B237" t="s">
        <v>1277</v>
      </c>
      <c r="C237" s="2" t="s">
        <v>251</v>
      </c>
      <c r="E237">
        <v>36334.21</v>
      </c>
      <c r="H237">
        <v>1.3779999999999999</v>
      </c>
      <c r="I237" t="s">
        <v>3265</v>
      </c>
    </row>
    <row r="238" spans="1:9">
      <c r="A238" t="s">
        <v>3531</v>
      </c>
      <c r="B238" t="s">
        <v>1313</v>
      </c>
      <c r="C238" s="2" t="s">
        <v>251</v>
      </c>
      <c r="E238">
        <v>36048.1</v>
      </c>
      <c r="H238">
        <v>0.92500000000000004</v>
      </c>
      <c r="I238" t="s">
        <v>3265</v>
      </c>
    </row>
    <row r="239" spans="1:9">
      <c r="A239" t="s">
        <v>3531</v>
      </c>
      <c r="B239" t="s">
        <v>1313</v>
      </c>
      <c r="C239" s="2" t="s">
        <v>252</v>
      </c>
      <c r="E239">
        <v>36333.699999999997</v>
      </c>
      <c r="H239">
        <v>1.0860000000000001</v>
      </c>
      <c r="I239" t="s">
        <v>3265</v>
      </c>
    </row>
    <row r="240" spans="1:9">
      <c r="A240" t="s">
        <v>3540</v>
      </c>
      <c r="B240" t="s">
        <v>1348</v>
      </c>
      <c r="C240" s="2" t="s">
        <v>252</v>
      </c>
      <c r="I240" t="s">
        <v>3265</v>
      </c>
    </row>
    <row r="241" spans="1:9">
      <c r="A241" t="s">
        <v>3540</v>
      </c>
      <c r="B241" t="s">
        <v>1348</v>
      </c>
      <c r="C241" s="2" t="s">
        <v>1702</v>
      </c>
      <c r="E241">
        <v>36275.769999999997</v>
      </c>
      <c r="H241">
        <v>1.1399999999999999</v>
      </c>
      <c r="I241" t="s">
        <v>3265</v>
      </c>
    </row>
    <row r="242" spans="1:9">
      <c r="A242" t="s">
        <v>3527</v>
      </c>
      <c r="B242" t="s">
        <v>1485</v>
      </c>
      <c r="C242" s="2" t="s">
        <v>250</v>
      </c>
      <c r="E242">
        <v>36371.050000000003</v>
      </c>
      <c r="H242">
        <v>1.948</v>
      </c>
      <c r="I242" t="s">
        <v>3265</v>
      </c>
    </row>
    <row r="243" spans="1:9">
      <c r="A243" t="s">
        <v>3528</v>
      </c>
      <c r="B243" t="s">
        <v>2298</v>
      </c>
      <c r="C243" s="2" t="s">
        <v>251</v>
      </c>
      <c r="E243">
        <v>36460.339999999997</v>
      </c>
      <c r="H243">
        <v>0.69099999999999995</v>
      </c>
      <c r="I243" t="s">
        <v>3265</v>
      </c>
    </row>
    <row r="244" spans="1:9">
      <c r="A244" t="s">
        <v>3528</v>
      </c>
      <c r="B244" t="s">
        <v>2298</v>
      </c>
      <c r="C244" s="2" t="s">
        <v>252</v>
      </c>
      <c r="E244">
        <v>36717.11</v>
      </c>
      <c r="H244">
        <v>0.97</v>
      </c>
      <c r="I244" t="s">
        <v>3265</v>
      </c>
    </row>
    <row r="245" spans="1:9">
      <c r="A245" t="s">
        <v>3528</v>
      </c>
      <c r="B245" t="s">
        <v>2298</v>
      </c>
      <c r="C245" s="2" t="s">
        <v>1702</v>
      </c>
      <c r="E245">
        <v>36976.1</v>
      </c>
      <c r="H245">
        <v>1.1499999999999999</v>
      </c>
      <c r="I245" t="s">
        <v>3265</v>
      </c>
    </row>
    <row r="246" spans="1:9">
      <c r="A246" t="s">
        <v>3528</v>
      </c>
      <c r="B246" t="s">
        <v>2298</v>
      </c>
      <c r="C246" s="2" t="s">
        <v>720</v>
      </c>
      <c r="E246">
        <v>37254.410000000003</v>
      </c>
      <c r="H246">
        <v>1.23</v>
      </c>
      <c r="I246" t="s">
        <v>3265</v>
      </c>
    </row>
    <row r="247" spans="1:9">
      <c r="A247" t="s">
        <v>3531</v>
      </c>
      <c r="B247" t="s">
        <v>1543</v>
      </c>
      <c r="C247" s="2" t="s">
        <v>249</v>
      </c>
      <c r="I247" t="s">
        <v>3265</v>
      </c>
    </row>
    <row r="248" spans="1:9">
      <c r="A248" t="s">
        <v>3531</v>
      </c>
      <c r="B248" t="s">
        <v>1543</v>
      </c>
      <c r="C248" s="2" t="s">
        <v>251</v>
      </c>
      <c r="E248">
        <v>36511.49</v>
      </c>
      <c r="F248" t="s">
        <v>34</v>
      </c>
      <c r="I248" t="s">
        <v>3265</v>
      </c>
    </row>
    <row r="249" spans="1:9">
      <c r="A249" t="s">
        <v>3538</v>
      </c>
      <c r="B249" t="s">
        <v>1639</v>
      </c>
      <c r="C249" s="2" t="s">
        <v>249</v>
      </c>
      <c r="E249">
        <v>36866.6</v>
      </c>
      <c r="H249">
        <v>0.84599999999999997</v>
      </c>
      <c r="I249" t="s">
        <v>3265</v>
      </c>
    </row>
    <row r="250" spans="1:9">
      <c r="A250" t="s">
        <v>3538</v>
      </c>
      <c r="B250" t="s">
        <v>1639</v>
      </c>
      <c r="C250" s="2" t="s">
        <v>251</v>
      </c>
      <c r="E250">
        <v>36979.199999999997</v>
      </c>
      <c r="H250">
        <v>1.1399999999999999</v>
      </c>
      <c r="I250" t="s">
        <v>3265</v>
      </c>
    </row>
    <row r="251" spans="1:9">
      <c r="A251" t="s">
        <v>3549</v>
      </c>
      <c r="B251" t="s">
        <v>1406</v>
      </c>
      <c r="C251" s="2" t="s">
        <v>250</v>
      </c>
      <c r="E251">
        <v>37111.67</v>
      </c>
      <c r="H251">
        <v>0.52600000000000002</v>
      </c>
      <c r="I251" t="s">
        <v>3265</v>
      </c>
    </row>
    <row r="252" spans="1:9">
      <c r="A252" t="s">
        <v>3549</v>
      </c>
      <c r="B252" t="s">
        <v>1406</v>
      </c>
      <c r="C252" s="2" t="s">
        <v>249</v>
      </c>
      <c r="E252">
        <v>37286.620000000003</v>
      </c>
      <c r="H252">
        <v>0.96399999999999997</v>
      </c>
      <c r="I252" t="s">
        <v>3265</v>
      </c>
    </row>
    <row r="253" spans="1:9">
      <c r="A253" t="s">
        <v>3549</v>
      </c>
      <c r="B253" t="s">
        <v>1406</v>
      </c>
      <c r="C253" s="2" t="s">
        <v>251</v>
      </c>
      <c r="E253">
        <v>37539.67</v>
      </c>
      <c r="H253">
        <v>1.1719999999999999</v>
      </c>
      <c r="I253" t="s">
        <v>3265</v>
      </c>
    </row>
    <row r="254" spans="1:9">
      <c r="A254" t="s">
        <v>3549</v>
      </c>
      <c r="B254" t="s">
        <v>1406</v>
      </c>
      <c r="C254" s="2" t="s">
        <v>252</v>
      </c>
      <c r="E254">
        <v>37831.58</v>
      </c>
      <c r="H254">
        <v>1.26</v>
      </c>
      <c r="I254" t="s">
        <v>3265</v>
      </c>
    </row>
    <row r="255" spans="1:9">
      <c r="A255" t="s">
        <v>3549</v>
      </c>
      <c r="B255" t="s">
        <v>1387</v>
      </c>
      <c r="C255" s="2" t="s">
        <v>249</v>
      </c>
      <c r="E255">
        <v>37188.28</v>
      </c>
      <c r="H255">
        <v>0.84</v>
      </c>
      <c r="I255" t="s">
        <v>3265</v>
      </c>
    </row>
    <row r="256" spans="1:9">
      <c r="A256" t="s">
        <v>3549</v>
      </c>
      <c r="B256" t="s">
        <v>1387</v>
      </c>
      <c r="C256" s="2" t="s">
        <v>251</v>
      </c>
      <c r="E256">
        <v>37343.5</v>
      </c>
      <c r="H256">
        <v>1.0580000000000001</v>
      </c>
      <c r="I256" t="s">
        <v>3265</v>
      </c>
    </row>
    <row r="257" spans="1:9">
      <c r="A257" t="s">
        <v>3549</v>
      </c>
      <c r="B257" t="s">
        <v>1387</v>
      </c>
      <c r="C257" s="2" t="s">
        <v>252</v>
      </c>
      <c r="E257">
        <v>37523.53</v>
      </c>
      <c r="H257">
        <v>1.19</v>
      </c>
      <c r="I257" t="s">
        <v>3265</v>
      </c>
    </row>
    <row r="258" spans="1:9">
      <c r="A258" t="s">
        <v>3549</v>
      </c>
      <c r="B258" t="s">
        <v>1387</v>
      </c>
      <c r="C258" s="2" t="s">
        <v>1702</v>
      </c>
      <c r="E258">
        <v>37760.6</v>
      </c>
      <c r="H258">
        <v>1.25</v>
      </c>
      <c r="I258" t="s">
        <v>3265</v>
      </c>
    </row>
    <row r="259" spans="1:9">
      <c r="A259" t="s">
        <v>3550</v>
      </c>
      <c r="B259" t="s">
        <v>1309</v>
      </c>
      <c r="C259" s="2" t="s">
        <v>248</v>
      </c>
      <c r="E259">
        <v>37410.17</v>
      </c>
      <c r="I259" t="s">
        <v>3265</v>
      </c>
    </row>
    <row r="260" spans="1:9">
      <c r="A260" t="s">
        <v>3550</v>
      </c>
      <c r="B260" t="s">
        <v>1309</v>
      </c>
      <c r="C260" s="2" t="s">
        <v>250</v>
      </c>
      <c r="E260">
        <v>37578.720000000001</v>
      </c>
      <c r="I260" t="s">
        <v>3265</v>
      </c>
    </row>
    <row r="261" spans="1:9">
      <c r="A261" t="s">
        <v>3550</v>
      </c>
      <c r="B261" t="s">
        <v>1309</v>
      </c>
      <c r="C261" s="2" t="s">
        <v>249</v>
      </c>
      <c r="E261">
        <v>37842.36</v>
      </c>
      <c r="I261" t="s">
        <v>3265</v>
      </c>
    </row>
    <row r="262" spans="1:9">
      <c r="A262" t="s">
        <v>3550</v>
      </c>
      <c r="B262" t="s">
        <v>1309</v>
      </c>
      <c r="C262" s="2" t="s">
        <v>251</v>
      </c>
      <c r="E262">
        <v>38177.65</v>
      </c>
      <c r="I262" t="s">
        <v>3265</v>
      </c>
    </row>
    <row r="263" spans="1:9">
      <c r="A263" t="s">
        <v>3550</v>
      </c>
      <c r="B263" t="s">
        <v>1309</v>
      </c>
      <c r="C263" s="2" t="s">
        <v>252</v>
      </c>
      <c r="E263">
        <v>38567.85</v>
      </c>
      <c r="I263" t="s">
        <v>3265</v>
      </c>
    </row>
    <row r="264" spans="1:9">
      <c r="A264" t="s">
        <v>3538</v>
      </c>
      <c r="B264" t="s">
        <v>1340</v>
      </c>
      <c r="C264" s="2" t="s">
        <v>248</v>
      </c>
      <c r="E264">
        <v>37536.559999999998</v>
      </c>
      <c r="H264">
        <v>0.1</v>
      </c>
      <c r="I264" t="s">
        <v>3265</v>
      </c>
    </row>
    <row r="265" spans="1:9">
      <c r="A265" t="s">
        <v>3538</v>
      </c>
      <c r="B265" t="s">
        <v>1340</v>
      </c>
      <c r="C265" s="2" t="s">
        <v>250</v>
      </c>
      <c r="E265">
        <v>37954.99</v>
      </c>
      <c r="H265">
        <v>1.0509999999999999</v>
      </c>
      <c r="I265" t="s">
        <v>3265</v>
      </c>
    </row>
    <row r="266" spans="1:9">
      <c r="A266" t="s">
        <v>3538</v>
      </c>
      <c r="B266" t="s">
        <v>1340</v>
      </c>
      <c r="C266" s="2" t="s">
        <v>249</v>
      </c>
      <c r="E266">
        <v>38393.49</v>
      </c>
      <c r="H266">
        <v>1.371</v>
      </c>
      <c r="I266" t="s">
        <v>3265</v>
      </c>
    </row>
    <row r="267" spans="1:9">
      <c r="A267" t="s">
        <v>3538</v>
      </c>
      <c r="B267" t="s">
        <v>1340</v>
      </c>
      <c r="C267" s="2" t="s">
        <v>251</v>
      </c>
      <c r="E267">
        <v>38854.14</v>
      </c>
      <c r="H267">
        <v>1.3049999999999999</v>
      </c>
      <c r="I267" t="s">
        <v>3265</v>
      </c>
    </row>
    <row r="268" spans="1:9">
      <c r="A268" t="s">
        <v>3539</v>
      </c>
      <c r="B268" t="s">
        <v>1351</v>
      </c>
      <c r="C268" s="2" t="s">
        <v>251</v>
      </c>
      <c r="E268">
        <v>37624.53</v>
      </c>
      <c r="H268">
        <v>0.70599999999999996</v>
      </c>
      <c r="I268" t="s">
        <v>3265</v>
      </c>
    </row>
    <row r="269" spans="1:9">
      <c r="A269" t="s">
        <v>3539</v>
      </c>
      <c r="B269" t="s">
        <v>1351</v>
      </c>
      <c r="C269" s="2" t="s">
        <v>252</v>
      </c>
      <c r="E269">
        <v>37866.06</v>
      </c>
      <c r="H269">
        <v>0.99199999999999999</v>
      </c>
      <c r="I269" t="s">
        <v>3265</v>
      </c>
    </row>
    <row r="270" spans="1:9">
      <c r="A270" t="s">
        <v>3539</v>
      </c>
      <c r="B270" t="s">
        <v>1351</v>
      </c>
      <c r="C270" s="2" t="s">
        <v>1702</v>
      </c>
      <c r="E270">
        <v>38143.760000000002</v>
      </c>
      <c r="H270">
        <v>1.089</v>
      </c>
      <c r="I270" t="s">
        <v>3265</v>
      </c>
    </row>
    <row r="271" spans="1:9">
      <c r="A271" t="s">
        <v>3539</v>
      </c>
      <c r="B271" t="s">
        <v>1351</v>
      </c>
      <c r="C271" s="2" t="s">
        <v>720</v>
      </c>
      <c r="E271">
        <v>38513.85</v>
      </c>
      <c r="H271">
        <v>1.21</v>
      </c>
      <c r="I271" t="s">
        <v>3265</v>
      </c>
    </row>
    <row r="272" spans="1:9">
      <c r="A272" t="s">
        <v>3532</v>
      </c>
      <c r="B272" t="s">
        <v>1692</v>
      </c>
      <c r="C272" s="2" t="s">
        <v>249</v>
      </c>
      <c r="E272">
        <v>37814.639999999999</v>
      </c>
      <c r="H272">
        <v>0.876</v>
      </c>
      <c r="I272" t="s">
        <v>3265</v>
      </c>
    </row>
    <row r="273" spans="1:9">
      <c r="A273" t="s">
        <v>3532</v>
      </c>
      <c r="B273" t="s">
        <v>1692</v>
      </c>
      <c r="C273" s="2" t="s">
        <v>251</v>
      </c>
      <c r="E273">
        <v>38231.85</v>
      </c>
      <c r="H273">
        <v>1.111</v>
      </c>
      <c r="I273" t="s">
        <v>3265</v>
      </c>
    </row>
    <row r="274" spans="1:9">
      <c r="A274" t="s">
        <v>3551</v>
      </c>
      <c r="B274" t="s">
        <v>1670</v>
      </c>
      <c r="C274" s="2" t="s">
        <v>250</v>
      </c>
      <c r="E274">
        <v>37865.42</v>
      </c>
      <c r="H274">
        <v>0.9</v>
      </c>
      <c r="I274" t="s">
        <v>3265</v>
      </c>
    </row>
    <row r="275" spans="1:9">
      <c r="A275" t="s">
        <v>3551</v>
      </c>
      <c r="B275" t="s">
        <v>1670</v>
      </c>
      <c r="C275" s="2" t="s">
        <v>249</v>
      </c>
      <c r="E275">
        <v>38180.32</v>
      </c>
      <c r="H275">
        <v>1.077</v>
      </c>
      <c r="I275" t="s">
        <v>3265</v>
      </c>
    </row>
    <row r="276" spans="1:9">
      <c r="A276" t="s">
        <v>3552</v>
      </c>
      <c r="B276" t="s">
        <v>1328</v>
      </c>
      <c r="C276" s="2" t="s">
        <v>248</v>
      </c>
      <c r="E276">
        <v>37871.300000000003</v>
      </c>
      <c r="I276" t="s">
        <v>3265</v>
      </c>
    </row>
    <row r="277" spans="1:9">
      <c r="A277" t="s">
        <v>3552</v>
      </c>
      <c r="B277" t="s">
        <v>1328</v>
      </c>
      <c r="C277" s="2" t="s">
        <v>250</v>
      </c>
      <c r="E277">
        <v>38021.410000000003</v>
      </c>
      <c r="I277" t="s">
        <v>3265</v>
      </c>
    </row>
    <row r="278" spans="1:9">
      <c r="A278" t="s">
        <v>3552</v>
      </c>
      <c r="B278" t="s">
        <v>1328</v>
      </c>
      <c r="C278" s="2" t="s">
        <v>249</v>
      </c>
      <c r="E278">
        <v>38276.589999999997</v>
      </c>
      <c r="I278" t="s">
        <v>3265</v>
      </c>
    </row>
    <row r="279" spans="1:9">
      <c r="A279" t="s">
        <v>3552</v>
      </c>
      <c r="B279" t="s">
        <v>1328</v>
      </c>
      <c r="C279" s="2" t="s">
        <v>251</v>
      </c>
      <c r="E279">
        <v>38638.47</v>
      </c>
      <c r="I279" t="s">
        <v>3265</v>
      </c>
    </row>
    <row r="280" spans="1:9">
      <c r="A280" t="s">
        <v>3552</v>
      </c>
      <c r="B280" t="s">
        <v>1328</v>
      </c>
      <c r="C280" s="2" t="s">
        <v>252</v>
      </c>
      <c r="E280">
        <v>39100.730000000003</v>
      </c>
      <c r="I280" t="s">
        <v>3265</v>
      </c>
    </row>
    <row r="281" spans="1:9">
      <c r="A281" t="s">
        <v>3538</v>
      </c>
      <c r="B281" t="s">
        <v>3251</v>
      </c>
      <c r="C281" s="2" t="s">
        <v>248</v>
      </c>
      <c r="E281">
        <v>38182.959999999999</v>
      </c>
      <c r="H281">
        <v>0.56399999999999995</v>
      </c>
      <c r="I281" t="s">
        <v>3265</v>
      </c>
    </row>
    <row r="282" spans="1:9">
      <c r="A282" t="s">
        <v>3538</v>
      </c>
      <c r="B282" t="s">
        <v>3251</v>
      </c>
      <c r="C282" s="2" t="s">
        <v>250</v>
      </c>
      <c r="E282">
        <v>38446.78</v>
      </c>
      <c r="H282">
        <v>1.29</v>
      </c>
      <c r="I282" t="s">
        <v>3265</v>
      </c>
    </row>
    <row r="283" spans="1:9">
      <c r="A283" t="s">
        <v>3528</v>
      </c>
      <c r="B283" t="s">
        <v>1360</v>
      </c>
      <c r="C283" s="2" t="s">
        <v>1702</v>
      </c>
      <c r="E283">
        <v>38251.279999999999</v>
      </c>
      <c r="H283">
        <v>0.97</v>
      </c>
      <c r="I283" t="s">
        <v>3265</v>
      </c>
    </row>
    <row r="284" spans="1:9">
      <c r="A284" t="s">
        <v>3528</v>
      </c>
      <c r="B284" t="s">
        <v>1360</v>
      </c>
      <c r="C284" s="2" t="s">
        <v>720</v>
      </c>
      <c r="E284">
        <v>38583.040000000001</v>
      </c>
      <c r="H284">
        <v>1.0900000000000001</v>
      </c>
      <c r="I284" t="s">
        <v>3265</v>
      </c>
    </row>
    <row r="285" spans="1:9">
      <c r="A285" t="s">
        <v>3537</v>
      </c>
      <c r="B285" t="s">
        <v>2476</v>
      </c>
      <c r="C285" s="2" t="s">
        <v>252</v>
      </c>
      <c r="E285">
        <v>38448.769999999997</v>
      </c>
      <c r="H285">
        <v>0.93600000000000005</v>
      </c>
      <c r="I285" t="s">
        <v>3265</v>
      </c>
    </row>
    <row r="286" spans="1:9">
      <c r="A286" t="s">
        <v>3537</v>
      </c>
      <c r="B286" t="s">
        <v>2476</v>
      </c>
      <c r="C286" s="2" t="s">
        <v>1702</v>
      </c>
      <c r="E286">
        <v>39020.81</v>
      </c>
      <c r="H286">
        <v>1.0840000000000001</v>
      </c>
      <c r="I286" t="s">
        <v>3265</v>
      </c>
    </row>
    <row r="287" spans="1:9">
      <c r="A287" t="s">
        <v>3538</v>
      </c>
      <c r="B287" t="s">
        <v>1369</v>
      </c>
      <c r="C287" s="2" t="s">
        <v>250</v>
      </c>
      <c r="E287">
        <v>38709.660000000003</v>
      </c>
      <c r="H287">
        <v>1.66</v>
      </c>
      <c r="I287" t="s">
        <v>3265</v>
      </c>
    </row>
    <row r="288" spans="1:9">
      <c r="A288" t="s">
        <v>3538</v>
      </c>
      <c r="B288" t="s">
        <v>1369</v>
      </c>
      <c r="C288" s="2" t="s">
        <v>248</v>
      </c>
      <c r="E288">
        <v>38730.160000000003</v>
      </c>
      <c r="H288">
        <v>2.5499999999999998</v>
      </c>
      <c r="I288" t="s">
        <v>3265</v>
      </c>
    </row>
    <row r="289" spans="1:9">
      <c r="A289" t="s">
        <v>3538</v>
      </c>
      <c r="B289" t="s">
        <v>1369</v>
      </c>
      <c r="C289" s="2" t="s">
        <v>249</v>
      </c>
      <c r="E289">
        <v>38763.339999999997</v>
      </c>
      <c r="H289">
        <v>1.5880000000000001</v>
      </c>
      <c r="I289" t="s">
        <v>3265</v>
      </c>
    </row>
    <row r="290" spans="1:9">
      <c r="A290" t="s">
        <v>3531</v>
      </c>
      <c r="B290" t="s">
        <v>1487</v>
      </c>
      <c r="C290" s="2" t="s">
        <v>250</v>
      </c>
      <c r="E290">
        <v>38903</v>
      </c>
      <c r="H290">
        <v>0.44800000000000001</v>
      </c>
      <c r="I290" t="s">
        <v>3265</v>
      </c>
    </row>
    <row r="291" spans="1:9">
      <c r="A291" t="s">
        <v>3531</v>
      </c>
      <c r="B291" t="s">
        <v>1487</v>
      </c>
      <c r="C291" s="2" t="s">
        <v>249</v>
      </c>
      <c r="E291">
        <v>39248.300000000003</v>
      </c>
      <c r="H291">
        <v>0.97299999999999998</v>
      </c>
      <c r="I291" t="s">
        <v>3265</v>
      </c>
    </row>
    <row r="292" spans="1:9">
      <c r="A292" t="s">
        <v>3531</v>
      </c>
      <c r="B292" t="s">
        <v>1487</v>
      </c>
      <c r="C292" s="2" t="s">
        <v>251</v>
      </c>
      <c r="E292">
        <v>39620.129999999997</v>
      </c>
      <c r="H292">
        <v>1.0940000000000001</v>
      </c>
      <c r="I292" t="s">
        <v>3265</v>
      </c>
    </row>
    <row r="293" spans="1:9">
      <c r="A293" t="s">
        <v>3531</v>
      </c>
      <c r="B293" t="s">
        <v>1487</v>
      </c>
      <c r="C293" s="2" t="s">
        <v>252</v>
      </c>
      <c r="E293">
        <v>40008.519999999997</v>
      </c>
      <c r="H293">
        <v>1.1080000000000001</v>
      </c>
      <c r="I293" t="s">
        <v>3265</v>
      </c>
    </row>
    <row r="294" spans="1:9">
      <c r="A294" t="s">
        <v>3543</v>
      </c>
      <c r="B294" t="s">
        <v>1356</v>
      </c>
      <c r="C294" s="2" t="s">
        <v>251</v>
      </c>
      <c r="E294">
        <v>38982.199999999997</v>
      </c>
      <c r="H294">
        <v>1.01</v>
      </c>
      <c r="I294" t="s">
        <v>3265</v>
      </c>
    </row>
    <row r="295" spans="1:9">
      <c r="A295" t="s">
        <v>3543</v>
      </c>
      <c r="B295" t="s">
        <v>1356</v>
      </c>
      <c r="C295" s="2" t="s">
        <v>252</v>
      </c>
      <c r="E295">
        <v>39380.769999999997</v>
      </c>
      <c r="H295">
        <v>1.1000000000000001</v>
      </c>
      <c r="I295" t="s">
        <v>3265</v>
      </c>
    </row>
    <row r="296" spans="1:9">
      <c r="A296" t="s">
        <v>3553</v>
      </c>
      <c r="B296" t="s">
        <v>1411</v>
      </c>
      <c r="C296" s="2" t="s">
        <v>251</v>
      </c>
      <c r="E296">
        <v>39426.839999999997</v>
      </c>
      <c r="H296">
        <v>0.91</v>
      </c>
      <c r="I296" t="s">
        <v>3265</v>
      </c>
    </row>
    <row r="297" spans="1:9">
      <c r="A297" t="s">
        <v>3553</v>
      </c>
      <c r="B297" t="s">
        <v>1411</v>
      </c>
      <c r="C297" s="2" t="s">
        <v>252</v>
      </c>
      <c r="E297">
        <v>39637.83</v>
      </c>
      <c r="H297">
        <v>1.04</v>
      </c>
      <c r="I297" t="s">
        <v>3265</v>
      </c>
    </row>
    <row r="298" spans="1:9">
      <c r="A298" t="s">
        <v>3531</v>
      </c>
      <c r="B298" t="s">
        <v>1417</v>
      </c>
      <c r="C298" s="2" t="s">
        <v>249</v>
      </c>
      <c r="E298">
        <v>39530.46</v>
      </c>
      <c r="H298">
        <v>0.61</v>
      </c>
      <c r="I298" t="s">
        <v>3265</v>
      </c>
    </row>
    <row r="299" spans="1:9">
      <c r="A299" t="s">
        <v>3531</v>
      </c>
      <c r="B299" t="s">
        <v>1417</v>
      </c>
      <c r="C299" s="2" t="s">
        <v>251</v>
      </c>
      <c r="E299">
        <v>39885.660000000003</v>
      </c>
      <c r="H299">
        <v>1.085</v>
      </c>
      <c r="I299" t="s">
        <v>3265</v>
      </c>
    </row>
    <row r="300" spans="1:9">
      <c r="A300" t="s">
        <v>3531</v>
      </c>
      <c r="B300" t="s">
        <v>1417</v>
      </c>
      <c r="C300" s="2" t="s">
        <v>252</v>
      </c>
      <c r="E300">
        <v>40421.93</v>
      </c>
      <c r="H300">
        <v>1.228</v>
      </c>
      <c r="I300" t="s">
        <v>3265</v>
      </c>
    </row>
    <row r="301" spans="1:9">
      <c r="A301" t="s">
        <v>3531</v>
      </c>
      <c r="B301" t="s">
        <v>1417</v>
      </c>
      <c r="C301" s="2" t="s">
        <v>1702</v>
      </c>
      <c r="E301">
        <v>40481.96</v>
      </c>
      <c r="H301">
        <v>1.18</v>
      </c>
      <c r="I301" t="s">
        <v>3265</v>
      </c>
    </row>
    <row r="302" spans="1:9">
      <c r="A302" t="s">
        <v>3552</v>
      </c>
      <c r="B302" t="s">
        <v>1328</v>
      </c>
      <c r="C302" s="2" t="s">
        <v>1702</v>
      </c>
      <c r="E302">
        <v>39648.67</v>
      </c>
      <c r="G302">
        <v>0.05</v>
      </c>
      <c r="I302" t="s">
        <v>3521</v>
      </c>
    </row>
    <row r="303" spans="1:9">
      <c r="A303" t="s">
        <v>3554</v>
      </c>
      <c r="B303" t="s">
        <v>1414</v>
      </c>
      <c r="C303" s="2" t="s">
        <v>252</v>
      </c>
      <c r="E303">
        <v>39845.51</v>
      </c>
      <c r="I303" t="s">
        <v>3265</v>
      </c>
    </row>
    <row r="304" spans="1:9">
      <c r="A304" t="s">
        <v>3554</v>
      </c>
      <c r="B304" t="s">
        <v>1414</v>
      </c>
      <c r="C304" s="2" t="s">
        <v>1702</v>
      </c>
      <c r="E304">
        <v>40003</v>
      </c>
      <c r="H304">
        <v>1.1519999999999999</v>
      </c>
      <c r="I304" t="s">
        <v>3265</v>
      </c>
    </row>
    <row r="305" spans="1:9">
      <c r="A305" t="s">
        <v>3551</v>
      </c>
      <c r="B305" t="s">
        <v>3555</v>
      </c>
      <c r="C305" s="2" t="s">
        <v>250</v>
      </c>
      <c r="E305">
        <v>39981.199999999997</v>
      </c>
      <c r="H305">
        <v>0.45</v>
      </c>
      <c r="I305" t="s">
        <v>3265</v>
      </c>
    </row>
    <row r="306" spans="1:9">
      <c r="A306" t="s">
        <v>3551</v>
      </c>
      <c r="B306" t="s">
        <v>3555</v>
      </c>
      <c r="C306" s="2" t="s">
        <v>249</v>
      </c>
      <c r="E306">
        <v>40209.72</v>
      </c>
      <c r="H306">
        <v>0.88600000000000001</v>
      </c>
      <c r="I306" t="s">
        <v>3265</v>
      </c>
    </row>
    <row r="307" spans="1:9">
      <c r="A307" t="s">
        <v>3551</v>
      </c>
      <c r="B307" t="s">
        <v>3555</v>
      </c>
      <c r="C307" s="2" t="s">
        <v>251</v>
      </c>
      <c r="E307">
        <v>40362</v>
      </c>
      <c r="H307">
        <v>1.129</v>
      </c>
      <c r="I307" t="s">
        <v>3265</v>
      </c>
    </row>
    <row r="308" spans="1:9">
      <c r="A308" t="s">
        <v>3551</v>
      </c>
      <c r="B308" t="s">
        <v>3555</v>
      </c>
      <c r="C308" s="2" t="s">
        <v>252</v>
      </c>
      <c r="E308">
        <v>40853.89</v>
      </c>
      <c r="H308">
        <v>1.25</v>
      </c>
      <c r="I308" t="s">
        <v>3265</v>
      </c>
    </row>
    <row r="309" spans="1:9">
      <c r="B309" t="s">
        <v>3556</v>
      </c>
      <c r="C309" s="2" t="s">
        <v>249</v>
      </c>
      <c r="E309">
        <v>40009.839999999997</v>
      </c>
      <c r="I309" t="s">
        <v>3265</v>
      </c>
    </row>
    <row r="310" spans="1:9">
      <c r="A310" t="s">
        <v>3543</v>
      </c>
      <c r="B310" t="s">
        <v>3557</v>
      </c>
      <c r="C310" s="2" t="s">
        <v>249</v>
      </c>
      <c r="E310">
        <v>40079.300000000003</v>
      </c>
      <c r="H310">
        <v>0.92900000000000005</v>
      </c>
      <c r="I310" t="s">
        <v>3265</v>
      </c>
    </row>
    <row r="311" spans="1:9">
      <c r="A311" t="s">
        <v>3543</v>
      </c>
      <c r="B311" t="s">
        <v>3557</v>
      </c>
      <c r="C311" s="2" t="s">
        <v>251</v>
      </c>
      <c r="E311">
        <v>40555.279999999999</v>
      </c>
      <c r="H311">
        <v>1.089</v>
      </c>
      <c r="I311" t="s">
        <v>3265</v>
      </c>
    </row>
    <row r="312" spans="1:9">
      <c r="A312" t="s">
        <v>3543</v>
      </c>
      <c r="B312" t="s">
        <v>3557</v>
      </c>
      <c r="C312" s="2" t="s">
        <v>252</v>
      </c>
      <c r="E312">
        <v>40921.15</v>
      </c>
      <c r="H312">
        <v>1.2430000000000001</v>
      </c>
      <c r="I312" t="s">
        <v>3265</v>
      </c>
    </row>
    <row r="313" spans="1:9">
      <c r="A313" t="s">
        <v>3543</v>
      </c>
      <c r="B313" t="s">
        <v>3557</v>
      </c>
      <c r="C313" s="2" t="s">
        <v>1702</v>
      </c>
      <c r="E313">
        <v>41371.17</v>
      </c>
      <c r="H313">
        <v>1.25</v>
      </c>
      <c r="I313" t="s">
        <v>3265</v>
      </c>
    </row>
    <row r="314" spans="1:9">
      <c r="A314" t="s">
        <v>3558</v>
      </c>
      <c r="B314" t="s">
        <v>3559</v>
      </c>
      <c r="C314" s="2" t="s">
        <v>251</v>
      </c>
      <c r="E314">
        <v>40469.71</v>
      </c>
      <c r="H314">
        <v>1.17</v>
      </c>
      <c r="I314" t="s">
        <v>3265</v>
      </c>
    </row>
    <row r="315" spans="1:9">
      <c r="A315" t="s">
        <v>3558</v>
      </c>
      <c r="B315" t="s">
        <v>3559</v>
      </c>
      <c r="C315" s="2" t="s">
        <v>249</v>
      </c>
      <c r="E315">
        <v>40735.18</v>
      </c>
      <c r="H315">
        <v>0.91</v>
      </c>
      <c r="I315" t="s">
        <v>3265</v>
      </c>
    </row>
    <row r="316" spans="1:9">
      <c r="A316" t="s">
        <v>3549</v>
      </c>
      <c r="B316" t="s">
        <v>1379</v>
      </c>
      <c r="C316" s="2" t="s">
        <v>248</v>
      </c>
      <c r="I316" t="s">
        <v>3265</v>
      </c>
    </row>
    <row r="317" spans="1:9">
      <c r="A317" t="s">
        <v>3549</v>
      </c>
      <c r="B317" t="s">
        <v>1379</v>
      </c>
      <c r="C317" s="2" t="s">
        <v>250</v>
      </c>
      <c r="I317" t="s">
        <v>3265</v>
      </c>
    </row>
    <row r="318" spans="1:9">
      <c r="A318" t="s">
        <v>3549</v>
      </c>
      <c r="B318" t="s">
        <v>1379</v>
      </c>
      <c r="C318" s="2" t="s">
        <v>249</v>
      </c>
      <c r="E318">
        <v>40473.9</v>
      </c>
      <c r="H318">
        <v>1.29</v>
      </c>
      <c r="I318" t="s">
        <v>3265</v>
      </c>
    </row>
    <row r="319" spans="1:9">
      <c r="A319" t="s">
        <v>3549</v>
      </c>
      <c r="B319" t="s">
        <v>1379</v>
      </c>
      <c r="C319" s="2" t="s">
        <v>251</v>
      </c>
      <c r="E319">
        <v>40953.360000000001</v>
      </c>
      <c r="H319">
        <v>1.367</v>
      </c>
      <c r="I319" t="s">
        <v>3265</v>
      </c>
    </row>
    <row r="320" spans="1:9">
      <c r="B320" t="s">
        <v>3560</v>
      </c>
      <c r="C320" s="2" t="s">
        <v>1702</v>
      </c>
      <c r="E320">
        <v>40746.29</v>
      </c>
      <c r="H320">
        <v>0.97</v>
      </c>
      <c r="I320" t="s">
        <v>3523</v>
      </c>
    </row>
    <row r="321" spans="1:9">
      <c r="A321" t="s">
        <v>3542</v>
      </c>
      <c r="B321" t="s">
        <v>1403</v>
      </c>
      <c r="C321" s="2" t="s">
        <v>248</v>
      </c>
      <c r="I321" t="s">
        <v>3265</v>
      </c>
    </row>
    <row r="322" spans="1:9">
      <c r="A322" t="s">
        <v>3542</v>
      </c>
      <c r="B322" t="s">
        <v>1403</v>
      </c>
      <c r="C322" s="2" t="s">
        <v>250</v>
      </c>
      <c r="E322">
        <v>41082.239999999998</v>
      </c>
      <c r="H322">
        <v>1.38</v>
      </c>
      <c r="I322" t="s">
        <v>3265</v>
      </c>
    </row>
    <row r="323" spans="1:9">
      <c r="B323" t="s">
        <v>3561</v>
      </c>
      <c r="C323" s="2" t="s">
        <v>251</v>
      </c>
      <c r="E323">
        <v>41139.949999999997</v>
      </c>
      <c r="H323">
        <v>0.88</v>
      </c>
      <c r="I323" t="s">
        <v>3265</v>
      </c>
    </row>
    <row r="324" spans="1:9">
      <c r="B324" t="s">
        <v>3562</v>
      </c>
      <c r="C324" s="2" t="s">
        <v>250</v>
      </c>
      <c r="E324">
        <v>41460.97</v>
      </c>
      <c r="H324">
        <v>1.42</v>
      </c>
      <c r="I324" t="s">
        <v>3265</v>
      </c>
    </row>
    <row r="325" spans="1:9">
      <c r="B325" t="s">
        <v>1596</v>
      </c>
      <c r="C325" s="2" t="s">
        <v>250</v>
      </c>
      <c r="E325">
        <v>41554.86</v>
      </c>
      <c r="H325">
        <v>0.55600000000000005</v>
      </c>
      <c r="I325" t="s">
        <v>3265</v>
      </c>
    </row>
    <row r="326" spans="1:9">
      <c r="B326" t="s">
        <v>1596</v>
      </c>
      <c r="C326" s="2" t="s">
        <v>249</v>
      </c>
      <c r="E326">
        <v>41746.339999999997</v>
      </c>
      <c r="H326">
        <v>1.25</v>
      </c>
      <c r="I326" t="s">
        <v>3265</v>
      </c>
    </row>
    <row r="327" spans="1:9">
      <c r="B327" t="s">
        <v>1596</v>
      </c>
      <c r="C327" s="2" t="s">
        <v>252</v>
      </c>
      <c r="E327">
        <v>41873.910000000003</v>
      </c>
      <c r="I327" t="s">
        <v>3265</v>
      </c>
    </row>
    <row r="328" spans="1:9">
      <c r="B328" t="s">
        <v>1596</v>
      </c>
      <c r="C328" s="2" t="s">
        <v>251</v>
      </c>
      <c r="E328">
        <v>41930.870000000003</v>
      </c>
      <c r="H328">
        <v>1.1859999999999999</v>
      </c>
      <c r="I328" t="s">
        <v>3265</v>
      </c>
    </row>
    <row r="329" spans="1:9">
      <c r="A329" t="s">
        <v>3539</v>
      </c>
      <c r="B329" t="s">
        <v>1576</v>
      </c>
      <c r="C329" s="2" t="s">
        <v>251</v>
      </c>
      <c r="E329">
        <v>41571.61</v>
      </c>
      <c r="I329" t="s">
        <v>3265</v>
      </c>
    </row>
    <row r="330" spans="1:9">
      <c r="A330" t="s">
        <v>3539</v>
      </c>
      <c r="B330" t="s">
        <v>1576</v>
      </c>
      <c r="C330" s="2" t="s">
        <v>252</v>
      </c>
      <c r="E330">
        <v>41895.67</v>
      </c>
      <c r="I330" t="s">
        <v>3265</v>
      </c>
    </row>
    <row r="331" spans="1:9">
      <c r="B331" t="s">
        <v>3563</v>
      </c>
      <c r="C331" s="2" t="s">
        <v>249</v>
      </c>
      <c r="E331">
        <v>41615.4</v>
      </c>
      <c r="I331" t="s">
        <v>3265</v>
      </c>
    </row>
    <row r="332" spans="1:9">
      <c r="A332" t="s">
        <v>3545</v>
      </c>
      <c r="B332" t="s">
        <v>1427</v>
      </c>
      <c r="C332" s="2" t="s">
        <v>248</v>
      </c>
      <c r="E332">
        <v>41676.81</v>
      </c>
      <c r="I332" t="s">
        <v>3265</v>
      </c>
    </row>
    <row r="333" spans="1:9">
      <c r="A333" t="s">
        <v>3545</v>
      </c>
      <c r="B333" t="s">
        <v>1427</v>
      </c>
      <c r="C333" s="2" t="s">
        <v>250</v>
      </c>
      <c r="E333">
        <v>42339.56</v>
      </c>
      <c r="I333" t="s">
        <v>3265</v>
      </c>
    </row>
    <row r="334" spans="1:9">
      <c r="A334" t="s">
        <v>3545</v>
      </c>
      <c r="B334" t="s">
        <v>1427</v>
      </c>
      <c r="C334" s="2" t="s">
        <v>251</v>
      </c>
      <c r="E334">
        <v>42551.56</v>
      </c>
      <c r="H334">
        <v>1.45</v>
      </c>
      <c r="I334" t="s">
        <v>3265</v>
      </c>
    </row>
    <row r="335" spans="1:9">
      <c r="A335" t="s">
        <v>3545</v>
      </c>
      <c r="B335" t="s">
        <v>1427</v>
      </c>
      <c r="C335" s="2" t="s">
        <v>249</v>
      </c>
      <c r="E335">
        <v>42719.18</v>
      </c>
      <c r="H335">
        <v>1.39</v>
      </c>
      <c r="I335" t="s">
        <v>3265</v>
      </c>
    </row>
    <row r="336" spans="1:9">
      <c r="A336" t="s">
        <v>3564</v>
      </c>
      <c r="B336" t="s">
        <v>3565</v>
      </c>
      <c r="C336" s="2" t="s">
        <v>249</v>
      </c>
      <c r="E336">
        <v>41829.11</v>
      </c>
      <c r="H336">
        <v>0.86</v>
      </c>
      <c r="I336" t="s">
        <v>3265</v>
      </c>
    </row>
    <row r="337" spans="1:9">
      <c r="A337" t="s">
        <v>3564</v>
      </c>
      <c r="B337" t="s">
        <v>3565</v>
      </c>
      <c r="C337" s="2" t="s">
        <v>251</v>
      </c>
      <c r="E337">
        <v>41987.35</v>
      </c>
      <c r="H337">
        <v>1.135</v>
      </c>
      <c r="I337" t="s">
        <v>3265</v>
      </c>
    </row>
    <row r="338" spans="1:9">
      <c r="A338" t="s">
        <v>3532</v>
      </c>
      <c r="B338" t="s">
        <v>1601</v>
      </c>
      <c r="C338" s="2" t="s">
        <v>251</v>
      </c>
      <c r="I338" t="s">
        <v>3265</v>
      </c>
    </row>
    <row r="339" spans="1:9">
      <c r="A339" t="s">
        <v>3532</v>
      </c>
      <c r="B339" t="s">
        <v>1601</v>
      </c>
      <c r="C339" s="2" t="s">
        <v>252</v>
      </c>
      <c r="E339">
        <v>42193.7</v>
      </c>
      <c r="H339">
        <v>1.1499999999999999</v>
      </c>
      <c r="I339" t="s">
        <v>3265</v>
      </c>
    </row>
    <row r="340" spans="1:9">
      <c r="A340" t="s">
        <v>3549</v>
      </c>
      <c r="B340" t="s">
        <v>3566</v>
      </c>
      <c r="C340" s="2" t="s">
        <v>250</v>
      </c>
      <c r="I340" t="s">
        <v>3265</v>
      </c>
    </row>
    <row r="341" spans="1:9">
      <c r="A341" t="s">
        <v>3549</v>
      </c>
      <c r="B341" t="s">
        <v>3566</v>
      </c>
      <c r="C341" s="2" t="s">
        <v>249</v>
      </c>
      <c r="E341">
        <v>42316.9</v>
      </c>
      <c r="H341">
        <v>1.21</v>
      </c>
      <c r="I341" t="s">
        <v>3265</v>
      </c>
    </row>
    <row r="342" spans="1:9">
      <c r="A342" t="s">
        <v>3527</v>
      </c>
      <c r="B342" t="s">
        <v>1490</v>
      </c>
      <c r="C342" s="2" t="s">
        <v>248</v>
      </c>
      <c r="E342">
        <v>42324.31</v>
      </c>
      <c r="I342" t="s">
        <v>3265</v>
      </c>
    </row>
    <row r="343" spans="1:9">
      <c r="A343" t="s">
        <v>3527</v>
      </c>
      <c r="B343" t="s">
        <v>1490</v>
      </c>
      <c r="C343" s="2" t="s">
        <v>250</v>
      </c>
      <c r="E343">
        <v>42473.21</v>
      </c>
      <c r="I343" t="s">
        <v>3265</v>
      </c>
    </row>
    <row r="344" spans="1:9">
      <c r="A344" t="s">
        <v>3527</v>
      </c>
      <c r="B344" t="s">
        <v>1490</v>
      </c>
      <c r="C344" s="2" t="s">
        <v>249</v>
      </c>
      <c r="E344">
        <v>42642.9</v>
      </c>
      <c r="I344" t="s">
        <v>3265</v>
      </c>
    </row>
    <row r="345" spans="1:9">
      <c r="A345" t="s">
        <v>3527</v>
      </c>
      <c r="B345" t="s">
        <v>1490</v>
      </c>
      <c r="C345" s="2" t="s">
        <v>251</v>
      </c>
      <c r="E345">
        <v>43332.66</v>
      </c>
      <c r="I345" t="s">
        <v>3265</v>
      </c>
    </row>
    <row r="346" spans="1:9">
      <c r="A346" t="s">
        <v>3551</v>
      </c>
      <c r="B346" t="s">
        <v>1579</v>
      </c>
      <c r="C346" s="2" t="s">
        <v>248</v>
      </c>
      <c r="E346">
        <v>42801.67</v>
      </c>
      <c r="I346" t="s">
        <v>3265</v>
      </c>
    </row>
    <row r="347" spans="1:9">
      <c r="A347" t="s">
        <v>3551</v>
      </c>
      <c r="B347" t="s">
        <v>1579</v>
      </c>
      <c r="C347" s="2" t="s">
        <v>250</v>
      </c>
      <c r="E347">
        <v>42900.07</v>
      </c>
      <c r="I347" t="s">
        <v>3265</v>
      </c>
    </row>
    <row r="348" spans="1:9">
      <c r="A348" t="s">
        <v>3551</v>
      </c>
      <c r="B348" t="s">
        <v>1579</v>
      </c>
      <c r="C348" s="2" t="s">
        <v>249</v>
      </c>
      <c r="E348">
        <v>43187</v>
      </c>
      <c r="I348" t="s">
        <v>3265</v>
      </c>
    </row>
    <row r="349" spans="1:9">
      <c r="A349" t="s">
        <v>3551</v>
      </c>
      <c r="B349" t="s">
        <v>1579</v>
      </c>
      <c r="C349" s="2" t="s">
        <v>251</v>
      </c>
      <c r="E349">
        <v>43414.44</v>
      </c>
      <c r="I349" t="s">
        <v>3265</v>
      </c>
    </row>
    <row r="350" spans="1:9">
      <c r="A350" t="s">
        <v>3551</v>
      </c>
      <c r="B350" t="s">
        <v>3567</v>
      </c>
      <c r="C350" s="2" t="s">
        <v>251</v>
      </c>
      <c r="I350" t="s">
        <v>3265</v>
      </c>
    </row>
    <row r="351" spans="1:9">
      <c r="A351" t="s">
        <v>3551</v>
      </c>
      <c r="B351" t="s">
        <v>3567</v>
      </c>
      <c r="C351" s="2" t="s">
        <v>249</v>
      </c>
      <c r="E351">
        <v>42888.84</v>
      </c>
      <c r="I351" t="s">
        <v>3265</v>
      </c>
    </row>
    <row r="352" spans="1:9">
      <c r="A352" t="s">
        <v>3553</v>
      </c>
      <c r="B352" t="s">
        <v>1608</v>
      </c>
      <c r="C352" s="2" t="s">
        <v>250</v>
      </c>
      <c r="E352">
        <v>42894.239999999998</v>
      </c>
      <c r="I352" t="s">
        <v>3265</v>
      </c>
    </row>
    <row r="353" spans="1:9">
      <c r="A353" t="s">
        <v>3553</v>
      </c>
      <c r="B353" t="s">
        <v>1608</v>
      </c>
      <c r="C353" s="2" t="s">
        <v>249</v>
      </c>
      <c r="E353">
        <v>43022.6</v>
      </c>
      <c r="I353" t="s">
        <v>3265</v>
      </c>
    </row>
    <row r="354" spans="1:9">
      <c r="A354" t="s">
        <v>3553</v>
      </c>
      <c r="B354" t="s">
        <v>1608</v>
      </c>
      <c r="C354" s="2" t="s">
        <v>251</v>
      </c>
      <c r="E354">
        <v>43173</v>
      </c>
      <c r="H354">
        <v>1.22</v>
      </c>
      <c r="I354" t="s">
        <v>3265</v>
      </c>
    </row>
    <row r="355" spans="1:9">
      <c r="A355" t="s">
        <v>3553</v>
      </c>
      <c r="B355" t="s">
        <v>1608</v>
      </c>
      <c r="C355" s="2" t="s">
        <v>252</v>
      </c>
      <c r="E355">
        <v>43395.8</v>
      </c>
      <c r="H355">
        <v>1.28</v>
      </c>
      <c r="I355" t="s">
        <v>3265</v>
      </c>
    </row>
    <row r="356" spans="1:9">
      <c r="A356" t="s">
        <v>3553</v>
      </c>
      <c r="B356" t="s">
        <v>3568</v>
      </c>
      <c r="C356" s="2" t="s">
        <v>249</v>
      </c>
      <c r="E356">
        <v>43342.879999999997</v>
      </c>
      <c r="I356" t="s">
        <v>3265</v>
      </c>
    </row>
    <row r="357" spans="1:9">
      <c r="A357" t="s">
        <v>3553</v>
      </c>
      <c r="B357" t="s">
        <v>3568</v>
      </c>
      <c r="C357" s="2" t="s">
        <v>251</v>
      </c>
      <c r="E357">
        <v>43553.17</v>
      </c>
      <c r="I357" t="s">
        <v>3265</v>
      </c>
    </row>
    <row r="358" spans="1:9">
      <c r="B358" t="s">
        <v>1658</v>
      </c>
      <c r="C358" s="2" t="s">
        <v>252</v>
      </c>
      <c r="I358" t="s">
        <v>3265</v>
      </c>
    </row>
    <row r="359" spans="1:9">
      <c r="B359" t="s">
        <v>1658</v>
      </c>
      <c r="C359" s="2" t="s">
        <v>251</v>
      </c>
      <c r="E359">
        <v>43880.22</v>
      </c>
      <c r="I359" t="s">
        <v>3265</v>
      </c>
    </row>
    <row r="360" spans="1:9">
      <c r="A360" t="s">
        <v>3551</v>
      </c>
      <c r="B360" t="s">
        <v>1469</v>
      </c>
      <c r="C360" s="2" t="s">
        <v>250</v>
      </c>
      <c r="E360">
        <v>44063.49</v>
      </c>
      <c r="H360">
        <v>1.27</v>
      </c>
      <c r="I360" t="s">
        <v>3265</v>
      </c>
    </row>
    <row r="361" spans="1:9">
      <c r="A361" t="s">
        <v>3551</v>
      </c>
      <c r="B361" t="s">
        <v>1469</v>
      </c>
      <c r="C361" s="2" t="s">
        <v>248</v>
      </c>
      <c r="E361">
        <v>46004.29</v>
      </c>
      <c r="I361" t="s">
        <v>3265</v>
      </c>
    </row>
    <row r="362" spans="1:9">
      <c r="B362" t="s">
        <v>1614</v>
      </c>
      <c r="C362" s="2" t="s">
        <v>248</v>
      </c>
      <c r="I362" t="s">
        <v>3265</v>
      </c>
    </row>
    <row r="363" spans="1:9">
      <c r="B363" t="s">
        <v>1614</v>
      </c>
      <c r="C363" s="2" t="s">
        <v>249</v>
      </c>
      <c r="E363">
        <v>44905.54</v>
      </c>
      <c r="I363" t="s">
        <v>3265</v>
      </c>
    </row>
    <row r="364" spans="1:9">
      <c r="B364" t="s">
        <v>1614</v>
      </c>
      <c r="C364" s="2" t="s">
        <v>250</v>
      </c>
      <c r="E364">
        <v>44939.08</v>
      </c>
      <c r="I364" t="s">
        <v>3265</v>
      </c>
    </row>
    <row r="365" spans="1:9">
      <c r="B365" t="s">
        <v>1614</v>
      </c>
      <c r="C365" s="2" t="s">
        <v>251</v>
      </c>
      <c r="E365">
        <v>45170.9</v>
      </c>
      <c r="I365" t="s">
        <v>3265</v>
      </c>
    </row>
    <row r="366" spans="1:9">
      <c r="A366" t="s">
        <v>3531</v>
      </c>
      <c r="B366" t="s">
        <v>1449</v>
      </c>
      <c r="C366" s="2" t="s">
        <v>252</v>
      </c>
      <c r="E366">
        <v>45110.13</v>
      </c>
      <c r="I366" t="s">
        <v>3265</v>
      </c>
    </row>
    <row r="367" spans="1:9">
      <c r="A367" t="s">
        <v>3531</v>
      </c>
      <c r="B367" t="s">
        <v>1449</v>
      </c>
      <c r="C367" s="2" t="s">
        <v>1702</v>
      </c>
      <c r="E367">
        <v>45259.03</v>
      </c>
      <c r="H367">
        <v>1.0900000000000001</v>
      </c>
      <c r="I367" t="s">
        <v>3265</v>
      </c>
    </row>
    <row r="368" spans="1:9">
      <c r="A368" t="s">
        <v>3549</v>
      </c>
      <c r="B368" t="s">
        <v>3569</v>
      </c>
      <c r="C368" s="2" t="s">
        <v>251</v>
      </c>
      <c r="I368" t="s">
        <v>3265</v>
      </c>
    </row>
    <row r="369" spans="1:9">
      <c r="A369" t="s">
        <v>3549</v>
      </c>
      <c r="B369" t="s">
        <v>3569</v>
      </c>
      <c r="C369" s="2" t="s">
        <v>249</v>
      </c>
      <c r="E369">
        <v>45297.3</v>
      </c>
      <c r="H369">
        <v>0.94</v>
      </c>
      <c r="I369" t="s">
        <v>3265</v>
      </c>
    </row>
    <row r="370" spans="1:9">
      <c r="A370" t="s">
        <v>3549</v>
      </c>
      <c r="B370" t="s">
        <v>1697</v>
      </c>
      <c r="C370" s="2" t="s">
        <v>251</v>
      </c>
      <c r="E370">
        <v>45719.07</v>
      </c>
      <c r="H370">
        <v>0.84</v>
      </c>
      <c r="I370" t="s">
        <v>3265</v>
      </c>
    </row>
    <row r="371" spans="1:9">
      <c r="A371" t="s">
        <v>3549</v>
      </c>
      <c r="B371" t="s">
        <v>1697</v>
      </c>
      <c r="C371" s="2" t="s">
        <v>252</v>
      </c>
      <c r="E371">
        <v>45982.559999999998</v>
      </c>
      <c r="I371" t="s">
        <v>3265</v>
      </c>
    </row>
    <row r="372" spans="1:9">
      <c r="A372" t="s">
        <v>3570</v>
      </c>
      <c r="B372" t="s">
        <v>1663</v>
      </c>
      <c r="C372" s="2" t="s">
        <v>248</v>
      </c>
      <c r="E372">
        <v>45978.84</v>
      </c>
      <c r="I372" t="s">
        <v>3265</v>
      </c>
    </row>
    <row r="373" spans="1:9">
      <c r="A373" t="s">
        <v>3570</v>
      </c>
      <c r="B373" t="s">
        <v>1663</v>
      </c>
      <c r="C373" s="2" t="s">
        <v>250</v>
      </c>
      <c r="E373">
        <v>46364.79</v>
      </c>
      <c r="I373" t="s">
        <v>3265</v>
      </c>
    </row>
    <row r="374" spans="1:9">
      <c r="A374" t="s">
        <v>3570</v>
      </c>
      <c r="B374" t="s">
        <v>1663</v>
      </c>
      <c r="C374" s="2" t="s">
        <v>249</v>
      </c>
      <c r="E374">
        <v>46812.58</v>
      </c>
      <c r="I374" t="s">
        <v>3265</v>
      </c>
    </row>
    <row r="375" spans="1:9">
      <c r="A375" t="s">
        <v>3570</v>
      </c>
      <c r="B375" t="s">
        <v>1663</v>
      </c>
      <c r="C375" s="2" t="s">
        <v>251</v>
      </c>
      <c r="E375">
        <v>47275.64</v>
      </c>
      <c r="I375" t="s">
        <v>3265</v>
      </c>
    </row>
    <row r="376" spans="1:9">
      <c r="A376" t="s">
        <v>3570</v>
      </c>
      <c r="B376" t="s">
        <v>1627</v>
      </c>
      <c r="C376" s="2" t="s">
        <v>249</v>
      </c>
      <c r="E376">
        <v>46011.48</v>
      </c>
      <c r="I376" t="s">
        <v>3265</v>
      </c>
    </row>
    <row r="377" spans="1:9">
      <c r="A377" t="s">
        <v>3570</v>
      </c>
      <c r="B377" t="s">
        <v>1627</v>
      </c>
      <c r="C377" s="2" t="s">
        <v>251</v>
      </c>
      <c r="E377">
        <v>46470.71</v>
      </c>
      <c r="I377" t="s">
        <v>3265</v>
      </c>
    </row>
    <row r="378" spans="1:9">
      <c r="A378" t="s">
        <v>3570</v>
      </c>
      <c r="B378" t="s">
        <v>1627</v>
      </c>
      <c r="C378" s="2" t="s">
        <v>252</v>
      </c>
      <c r="E378">
        <v>46724.2</v>
      </c>
      <c r="I378" t="s">
        <v>3265</v>
      </c>
    </row>
    <row r="379" spans="1:9">
      <c r="A379" t="s">
        <v>3570</v>
      </c>
      <c r="B379" t="s">
        <v>1627</v>
      </c>
      <c r="C379" s="2" t="s">
        <v>1702</v>
      </c>
      <c r="E379">
        <v>47080.83</v>
      </c>
      <c r="I379" t="s">
        <v>3265</v>
      </c>
    </row>
    <row r="380" spans="1:9">
      <c r="A380" t="s">
        <v>3570</v>
      </c>
      <c r="B380" t="s">
        <v>1653</v>
      </c>
      <c r="C380" s="2" t="s">
        <v>250</v>
      </c>
      <c r="E380">
        <v>46170.04</v>
      </c>
      <c r="I380" t="s">
        <v>3265</v>
      </c>
    </row>
    <row r="381" spans="1:9">
      <c r="A381" t="s">
        <v>3570</v>
      </c>
      <c r="B381" t="s">
        <v>1653</v>
      </c>
      <c r="C381" s="2" t="s">
        <v>249</v>
      </c>
      <c r="E381">
        <v>46543.56</v>
      </c>
      <c r="I381" t="s">
        <v>3265</v>
      </c>
    </row>
    <row r="382" spans="1:9">
      <c r="A382" t="s">
        <v>3570</v>
      </c>
      <c r="B382" t="s">
        <v>1653</v>
      </c>
      <c r="C382" s="2" t="s">
        <v>251</v>
      </c>
      <c r="E382">
        <v>47022.78</v>
      </c>
      <c r="I382" t="s">
        <v>3265</v>
      </c>
    </row>
    <row r="383" spans="1:9">
      <c r="A383" t="s">
        <v>3570</v>
      </c>
      <c r="B383" t="s">
        <v>1653</v>
      </c>
      <c r="C383" s="2" t="s">
        <v>252</v>
      </c>
      <c r="E383">
        <v>47680.59</v>
      </c>
      <c r="I383" t="s">
        <v>3265</v>
      </c>
    </row>
    <row r="384" spans="1:9">
      <c r="B384" t="s">
        <v>3571</v>
      </c>
      <c r="C384" s="2" t="s">
        <v>250</v>
      </c>
      <c r="I384" t="s">
        <v>3265</v>
      </c>
    </row>
    <row r="385" spans="1:9">
      <c r="B385" t="s">
        <v>3571</v>
      </c>
      <c r="C385" s="2" t="s">
        <v>249</v>
      </c>
      <c r="E385">
        <v>46509.8</v>
      </c>
      <c r="I385" t="s">
        <v>3265</v>
      </c>
    </row>
    <row r="386" spans="1:9">
      <c r="B386" t="s">
        <v>3571</v>
      </c>
      <c r="C386" s="2" t="s">
        <v>251</v>
      </c>
      <c r="E386">
        <v>46932.06</v>
      </c>
      <c r="I386" t="s">
        <v>3265</v>
      </c>
    </row>
    <row r="387" spans="1:9">
      <c r="B387" t="s">
        <v>3571</v>
      </c>
      <c r="C387" s="2" t="s">
        <v>252</v>
      </c>
      <c r="E387">
        <v>47146.06</v>
      </c>
      <c r="I387" t="s">
        <v>3265</v>
      </c>
    </row>
    <row r="388" spans="1:9">
      <c r="B388" t="s">
        <v>3572</v>
      </c>
      <c r="C388" s="2" t="s">
        <v>249</v>
      </c>
      <c r="E388">
        <v>46919.48</v>
      </c>
      <c r="I388" t="s">
        <v>3265</v>
      </c>
    </row>
    <row r="389" spans="1:9">
      <c r="A389" t="s">
        <v>3543</v>
      </c>
      <c r="B389" t="s">
        <v>1561</v>
      </c>
      <c r="C389" s="2" t="s">
        <v>252</v>
      </c>
      <c r="E389">
        <v>46954.400000000001</v>
      </c>
      <c r="I389" t="s">
        <v>3265</v>
      </c>
    </row>
    <row r="390" spans="1:9">
      <c r="A390" t="s">
        <v>3543</v>
      </c>
      <c r="B390" t="s">
        <v>1561</v>
      </c>
      <c r="C390" s="2" t="s">
        <v>1702</v>
      </c>
      <c r="E390">
        <v>47155.22</v>
      </c>
      <c r="H390">
        <v>1</v>
      </c>
      <c r="I390" t="s">
        <v>3265</v>
      </c>
    </row>
    <row r="391" spans="1:9">
      <c r="B391" t="s">
        <v>3573</v>
      </c>
      <c r="C391" s="2" t="s">
        <v>251</v>
      </c>
      <c r="E391">
        <v>47528.49</v>
      </c>
      <c r="H391">
        <v>0.92</v>
      </c>
      <c r="I391" t="s">
        <v>3265</v>
      </c>
    </row>
    <row r="392" spans="1:9">
      <c r="B392" t="s">
        <v>3573</v>
      </c>
      <c r="C392" s="2" t="s">
        <v>252</v>
      </c>
      <c r="E392">
        <v>48242.44</v>
      </c>
      <c r="H392">
        <v>1.1000000000000001</v>
      </c>
      <c r="I392" t="s">
        <v>3265</v>
      </c>
    </row>
    <row r="393" spans="1:9">
      <c r="B393" t="s">
        <v>3574</v>
      </c>
      <c r="C393" s="2" t="s">
        <v>250</v>
      </c>
      <c r="E393">
        <v>47537.67</v>
      </c>
      <c r="I393" t="s">
        <v>3265</v>
      </c>
    </row>
    <row r="394" spans="1:9">
      <c r="B394" t="s">
        <v>3575</v>
      </c>
      <c r="C394" s="2" t="s">
        <v>251</v>
      </c>
      <c r="I394" t="s">
        <v>3265</v>
      </c>
    </row>
    <row r="395" spans="1:9">
      <c r="B395" t="s">
        <v>3575</v>
      </c>
      <c r="C395" s="2" t="s">
        <v>252</v>
      </c>
      <c r="E395">
        <v>51788.3</v>
      </c>
      <c r="I395" t="s">
        <v>3265</v>
      </c>
    </row>
    <row r="396" spans="1:9">
      <c r="A396" t="s">
        <v>3576</v>
      </c>
      <c r="B396" t="s">
        <v>202</v>
      </c>
      <c r="C396" s="2" t="s">
        <v>203</v>
      </c>
      <c r="E396">
        <v>54513.8</v>
      </c>
      <c r="G396">
        <v>0.3</v>
      </c>
      <c r="I396" t="s">
        <v>3577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2F88-5187-4591-AF43-D37C760E3052}">
  <dimension ref="A1:I429"/>
  <sheetViews>
    <sheetView workbookViewId="0">
      <selection sqref="A1:I1048576"/>
    </sheetView>
  </sheetViews>
  <sheetFormatPr defaultRowHeight="15"/>
  <cols>
    <col min="1" max="1" width="18" bestFit="1" customWidth="1"/>
    <col min="2" max="2" width="6.2851562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7109375" bestFit="1" customWidth="1"/>
    <col min="9" max="9" width="10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3578</v>
      </c>
      <c r="B2" t="s">
        <v>1704</v>
      </c>
      <c r="C2">
        <v>3</v>
      </c>
      <c r="E2">
        <v>0</v>
      </c>
      <c r="H2">
        <v>1.992</v>
      </c>
      <c r="I2" t="s">
        <v>3579</v>
      </c>
    </row>
    <row r="3" spans="1:9">
      <c r="A3" t="s">
        <v>3578</v>
      </c>
      <c r="B3" t="s">
        <v>1706</v>
      </c>
      <c r="C3">
        <v>2</v>
      </c>
      <c r="E3">
        <v>10768.332</v>
      </c>
      <c r="H3">
        <v>1.98</v>
      </c>
    </row>
    <row r="4" spans="1:9">
      <c r="A4" t="s">
        <v>3580</v>
      </c>
      <c r="B4" t="s">
        <v>15</v>
      </c>
      <c r="C4">
        <v>0</v>
      </c>
      <c r="E4">
        <v>10965.947</v>
      </c>
      <c r="H4">
        <v>0</v>
      </c>
    </row>
    <row r="5" spans="1:9">
      <c r="A5" t="s">
        <v>3580</v>
      </c>
      <c r="B5" t="s">
        <v>15</v>
      </c>
      <c r="C5">
        <v>1</v>
      </c>
      <c r="E5">
        <v>11142.784</v>
      </c>
      <c r="H5">
        <v>1.49</v>
      </c>
    </row>
    <row r="6" spans="1:9">
      <c r="A6" t="s">
        <v>3580</v>
      </c>
      <c r="B6" t="s">
        <v>15</v>
      </c>
      <c r="C6">
        <v>2</v>
      </c>
      <c r="E6">
        <v>11454.361999999999</v>
      </c>
      <c r="H6">
        <v>1.498</v>
      </c>
    </row>
    <row r="7" spans="1:9">
      <c r="A7" t="s">
        <v>3580</v>
      </c>
      <c r="B7" t="s">
        <v>15</v>
      </c>
      <c r="C7">
        <v>3</v>
      </c>
      <c r="E7">
        <v>11858.498</v>
      </c>
      <c r="H7">
        <v>1.488</v>
      </c>
    </row>
    <row r="8" spans="1:9">
      <c r="A8" t="s">
        <v>3580</v>
      </c>
      <c r="B8" t="s">
        <v>15</v>
      </c>
      <c r="C8">
        <v>4</v>
      </c>
      <c r="E8">
        <v>12346.28</v>
      </c>
      <c r="H8">
        <v>1.4830000000000001</v>
      </c>
    </row>
    <row r="9" spans="1:9">
      <c r="A9" t="s">
        <v>3581</v>
      </c>
      <c r="B9" t="s">
        <v>1711</v>
      </c>
      <c r="C9">
        <v>2</v>
      </c>
      <c r="E9">
        <v>16641.080999999998</v>
      </c>
      <c r="H9">
        <v>0.33100000000000002</v>
      </c>
    </row>
    <row r="10" spans="1:9">
      <c r="A10" t="s">
        <v>3581</v>
      </c>
      <c r="B10" t="s">
        <v>1711</v>
      </c>
      <c r="C10">
        <v>3</v>
      </c>
      <c r="E10">
        <v>16692.904999999999</v>
      </c>
      <c r="H10">
        <v>0.91800000000000004</v>
      </c>
    </row>
    <row r="11" spans="1:9">
      <c r="A11" t="s">
        <v>3581</v>
      </c>
      <c r="B11" t="s">
        <v>1711</v>
      </c>
      <c r="C11">
        <v>4</v>
      </c>
      <c r="E11">
        <v>16747.72</v>
      </c>
      <c r="H11">
        <v>1.141</v>
      </c>
    </row>
    <row r="12" spans="1:9">
      <c r="A12" t="s">
        <v>3581</v>
      </c>
      <c r="B12" t="s">
        <v>1711</v>
      </c>
      <c r="C12">
        <v>6</v>
      </c>
      <c r="E12">
        <v>16783.856</v>
      </c>
      <c r="H12">
        <v>1.3180000000000001</v>
      </c>
    </row>
    <row r="13" spans="1:9">
      <c r="A13" t="s">
        <v>3581</v>
      </c>
      <c r="B13" t="s">
        <v>1711</v>
      </c>
      <c r="C13">
        <v>5</v>
      </c>
      <c r="E13">
        <v>16784.522000000001</v>
      </c>
      <c r="H13">
        <v>1.284</v>
      </c>
    </row>
    <row r="14" spans="1:9">
      <c r="A14" t="s">
        <v>3582</v>
      </c>
      <c r="B14" t="s">
        <v>17</v>
      </c>
      <c r="C14">
        <v>3</v>
      </c>
      <c r="E14">
        <v>18229.151999999998</v>
      </c>
      <c r="H14">
        <v>1.6359999999999999</v>
      </c>
    </row>
    <row r="15" spans="1:9">
      <c r="A15" t="s">
        <v>3582</v>
      </c>
      <c r="B15" t="s">
        <v>17</v>
      </c>
      <c r="C15">
        <v>2</v>
      </c>
      <c r="E15">
        <v>18356.491000000002</v>
      </c>
      <c r="H15">
        <v>1.7889999999999999</v>
      </c>
    </row>
    <row r="16" spans="1:9">
      <c r="A16" t="s">
        <v>3582</v>
      </c>
      <c r="B16" t="s">
        <v>17</v>
      </c>
      <c r="C16">
        <v>1</v>
      </c>
      <c r="E16">
        <v>18479.581999999999</v>
      </c>
      <c r="H16">
        <v>2.4239999999999999</v>
      </c>
    </row>
    <row r="17" spans="1:8">
      <c r="A17" t="s">
        <v>3583</v>
      </c>
      <c r="B17" t="s">
        <v>1717</v>
      </c>
      <c r="C17">
        <v>0</v>
      </c>
      <c r="E17">
        <v>19969.847000000002</v>
      </c>
      <c r="H17">
        <v>-3.6999999999999998E-2</v>
      </c>
    </row>
    <row r="18" spans="1:8">
      <c r="A18" t="s">
        <v>3583</v>
      </c>
      <c r="B18" t="s">
        <v>1717</v>
      </c>
      <c r="C18">
        <v>1</v>
      </c>
      <c r="E18">
        <v>20130.312999999998</v>
      </c>
      <c r="H18">
        <v>1.579</v>
      </c>
    </row>
    <row r="19" spans="1:8">
      <c r="A19" t="s">
        <v>3583</v>
      </c>
      <c r="B19" t="s">
        <v>1717</v>
      </c>
      <c r="C19">
        <v>4</v>
      </c>
      <c r="E19">
        <v>20157.802</v>
      </c>
      <c r="H19">
        <v>1.482</v>
      </c>
    </row>
    <row r="20" spans="1:8">
      <c r="A20" t="s">
        <v>3583</v>
      </c>
      <c r="B20" t="s">
        <v>1717</v>
      </c>
      <c r="C20">
        <v>2</v>
      </c>
      <c r="E20">
        <v>20280.968000000001</v>
      </c>
      <c r="H20">
        <v>1.5369999999999999</v>
      </c>
    </row>
    <row r="21" spans="1:8">
      <c r="A21" t="s">
        <v>3583</v>
      </c>
      <c r="B21" t="s">
        <v>1717</v>
      </c>
      <c r="C21">
        <v>3</v>
      </c>
      <c r="E21">
        <v>20350.507000000001</v>
      </c>
      <c r="H21">
        <v>1.4950000000000001</v>
      </c>
    </row>
    <row r="22" spans="1:8">
      <c r="A22" t="s">
        <v>3580</v>
      </c>
      <c r="B22" t="s">
        <v>21</v>
      </c>
      <c r="C22">
        <v>0</v>
      </c>
      <c r="E22">
        <v>20607.435000000001</v>
      </c>
      <c r="H22">
        <v>0</v>
      </c>
    </row>
    <row r="23" spans="1:8">
      <c r="A23" t="s">
        <v>3580</v>
      </c>
      <c r="B23" t="s">
        <v>21</v>
      </c>
      <c r="C23">
        <v>1</v>
      </c>
      <c r="E23">
        <v>22244.375</v>
      </c>
      <c r="H23">
        <v>0.97699999999999998</v>
      </c>
    </row>
    <row r="24" spans="1:8">
      <c r="A24" t="s">
        <v>3580</v>
      </c>
      <c r="B24" t="s">
        <v>21</v>
      </c>
      <c r="C24">
        <v>2</v>
      </c>
      <c r="E24">
        <v>22875.941999999999</v>
      </c>
      <c r="H24">
        <v>1.361</v>
      </c>
    </row>
    <row r="25" spans="1:8">
      <c r="A25" t="s">
        <v>3583</v>
      </c>
      <c r="B25" t="s">
        <v>27</v>
      </c>
      <c r="C25">
        <v>1</v>
      </c>
      <c r="E25">
        <v>20930.424999999999</v>
      </c>
      <c r="H25">
        <v>1.056</v>
      </c>
    </row>
    <row r="26" spans="1:8">
      <c r="A26" t="s">
        <v>3583</v>
      </c>
      <c r="B26" t="s">
        <v>27</v>
      </c>
      <c r="C26">
        <v>2</v>
      </c>
      <c r="E26">
        <v>20950.852999999999</v>
      </c>
      <c r="H26">
        <v>1.2889999999999999</v>
      </c>
    </row>
    <row r="27" spans="1:8">
      <c r="A27" t="s">
        <v>3583</v>
      </c>
      <c r="B27" t="s">
        <v>27</v>
      </c>
      <c r="C27">
        <v>3</v>
      </c>
      <c r="E27">
        <v>21618.63</v>
      </c>
      <c r="H27">
        <v>1.32</v>
      </c>
    </row>
    <row r="28" spans="1:8">
      <c r="A28" t="s">
        <v>3581</v>
      </c>
      <c r="B28" t="s">
        <v>23</v>
      </c>
      <c r="C28">
        <v>3</v>
      </c>
      <c r="E28">
        <v>20947.939999999999</v>
      </c>
      <c r="H28">
        <v>0.76700000000000002</v>
      </c>
    </row>
    <row r="29" spans="1:8">
      <c r="A29" t="s">
        <v>3581</v>
      </c>
      <c r="B29" t="s">
        <v>23</v>
      </c>
      <c r="C29">
        <v>4</v>
      </c>
      <c r="E29">
        <v>21153.883999999998</v>
      </c>
      <c r="H29">
        <v>1.0509999999999999</v>
      </c>
    </row>
    <row r="30" spans="1:8">
      <c r="A30" t="s">
        <v>3581</v>
      </c>
      <c r="B30" t="s">
        <v>23</v>
      </c>
      <c r="C30">
        <v>5</v>
      </c>
      <c r="E30">
        <v>21343.204000000002</v>
      </c>
      <c r="H30">
        <v>1.2130000000000001</v>
      </c>
    </row>
    <row r="31" spans="1:8">
      <c r="A31" t="s">
        <v>3580</v>
      </c>
      <c r="B31" t="s">
        <v>13</v>
      </c>
      <c r="C31">
        <v>4</v>
      </c>
      <c r="E31">
        <v>23516.475999999999</v>
      </c>
      <c r="H31">
        <v>1.117</v>
      </c>
    </row>
    <row r="32" spans="1:8">
      <c r="A32" t="s">
        <v>3580</v>
      </c>
      <c r="B32" t="s">
        <v>13</v>
      </c>
      <c r="C32">
        <v>2</v>
      </c>
      <c r="E32">
        <v>23534.406999999999</v>
      </c>
      <c r="H32">
        <v>0.66700000000000004</v>
      </c>
    </row>
    <row r="33" spans="1:8">
      <c r="A33" t="s">
        <v>3580</v>
      </c>
      <c r="B33" t="s">
        <v>13</v>
      </c>
      <c r="C33">
        <v>3</v>
      </c>
      <c r="E33">
        <v>23668.079000000002</v>
      </c>
      <c r="H33">
        <v>1.079</v>
      </c>
    </row>
    <row r="34" spans="1:8">
      <c r="A34" t="s">
        <v>3580</v>
      </c>
      <c r="B34" t="s">
        <v>29</v>
      </c>
      <c r="C34">
        <v>4</v>
      </c>
      <c r="E34">
        <v>24096.294000000002</v>
      </c>
      <c r="H34">
        <v>0.97299999999999998</v>
      </c>
    </row>
    <row r="35" spans="1:8">
      <c r="A35" t="s">
        <v>3580</v>
      </c>
      <c r="B35" t="s">
        <v>29</v>
      </c>
      <c r="C35">
        <v>5</v>
      </c>
      <c r="E35">
        <v>24465.771000000001</v>
      </c>
      <c r="H35">
        <v>1.1279999999999999</v>
      </c>
    </row>
    <row r="36" spans="1:8">
      <c r="A36" t="s">
        <v>3580</v>
      </c>
      <c r="B36" t="s">
        <v>29</v>
      </c>
      <c r="C36">
        <v>6</v>
      </c>
      <c r="E36">
        <v>24823.482</v>
      </c>
      <c r="H36">
        <v>1.1419999999999999</v>
      </c>
    </row>
    <row r="37" spans="1:8">
      <c r="A37" t="s">
        <v>3580</v>
      </c>
      <c r="B37" t="s">
        <v>3584</v>
      </c>
      <c r="C37">
        <v>0</v>
      </c>
      <c r="E37">
        <v>24472.14</v>
      </c>
    </row>
    <row r="38" spans="1:8">
      <c r="A38" t="s">
        <v>3585</v>
      </c>
      <c r="B38" t="s">
        <v>1741</v>
      </c>
      <c r="C38">
        <v>4</v>
      </c>
      <c r="E38">
        <v>25455.635999999999</v>
      </c>
      <c r="H38">
        <v>1.458</v>
      </c>
    </row>
    <row r="39" spans="1:8">
      <c r="A39" t="s">
        <v>3585</v>
      </c>
      <c r="B39" t="s">
        <v>1741</v>
      </c>
      <c r="C39">
        <v>3</v>
      </c>
      <c r="E39">
        <v>25707.071</v>
      </c>
      <c r="H39">
        <v>1.355</v>
      </c>
    </row>
    <row r="40" spans="1:8">
      <c r="A40" t="s">
        <v>3585</v>
      </c>
      <c r="B40" t="s">
        <v>1741</v>
      </c>
      <c r="C40">
        <v>2</v>
      </c>
      <c r="E40">
        <v>25794.608</v>
      </c>
      <c r="H40">
        <v>1.0900000000000001</v>
      </c>
    </row>
    <row r="41" spans="1:8">
      <c r="A41" t="s">
        <v>3585</v>
      </c>
      <c r="B41" t="s">
        <v>1741</v>
      </c>
      <c r="C41">
        <v>1</v>
      </c>
      <c r="E41">
        <v>25820.621999999999</v>
      </c>
    </row>
    <row r="42" spans="1:8">
      <c r="A42" t="s">
        <v>3585</v>
      </c>
      <c r="B42" t="s">
        <v>1741</v>
      </c>
      <c r="C42">
        <v>0</v>
      </c>
      <c r="E42">
        <v>25980.338</v>
      </c>
    </row>
    <row r="43" spans="1:8">
      <c r="A43" t="s">
        <v>3586</v>
      </c>
      <c r="B43" t="s">
        <v>1727</v>
      </c>
      <c r="C43">
        <v>5</v>
      </c>
      <c r="E43">
        <v>25516.912</v>
      </c>
      <c r="H43">
        <v>0.79600000000000004</v>
      </c>
    </row>
    <row r="44" spans="1:8">
      <c r="A44" t="s">
        <v>3586</v>
      </c>
      <c r="B44" t="s">
        <v>1727</v>
      </c>
      <c r="C44">
        <v>6</v>
      </c>
      <c r="E44">
        <v>25548.886999999999</v>
      </c>
      <c r="H44">
        <v>1.028</v>
      </c>
    </row>
    <row r="45" spans="1:8">
      <c r="A45" t="s">
        <v>3586</v>
      </c>
      <c r="B45" t="s">
        <v>1727</v>
      </c>
      <c r="C45">
        <v>7</v>
      </c>
      <c r="E45">
        <v>25638.566999999999</v>
      </c>
      <c r="H45">
        <v>1.147</v>
      </c>
    </row>
    <row r="46" spans="1:8">
      <c r="A46" t="s">
        <v>3587</v>
      </c>
      <c r="B46" t="s">
        <v>53</v>
      </c>
      <c r="C46">
        <v>2</v>
      </c>
      <c r="E46">
        <v>25614.366999999998</v>
      </c>
      <c r="H46">
        <v>2.2989999999999999</v>
      </c>
    </row>
    <row r="47" spans="1:8">
      <c r="A47" t="s">
        <v>3587</v>
      </c>
      <c r="B47" t="s">
        <v>53</v>
      </c>
      <c r="C47">
        <v>3</v>
      </c>
      <c r="E47">
        <v>25871.886999999999</v>
      </c>
      <c r="H47">
        <v>1.8919999999999999</v>
      </c>
    </row>
    <row r="48" spans="1:8">
      <c r="A48" t="s">
        <v>3587</v>
      </c>
      <c r="B48" t="s">
        <v>53</v>
      </c>
      <c r="C48">
        <v>4</v>
      </c>
      <c r="E48">
        <v>26320.42</v>
      </c>
      <c r="H48">
        <v>1.736</v>
      </c>
    </row>
    <row r="49" spans="1:8">
      <c r="A49" t="s">
        <v>3588</v>
      </c>
      <c r="B49" t="s">
        <v>11</v>
      </c>
      <c r="C49">
        <v>5</v>
      </c>
      <c r="E49">
        <v>25905.49</v>
      </c>
      <c r="H49">
        <v>1.3939999999999999</v>
      </c>
    </row>
    <row r="50" spans="1:8">
      <c r="A50" t="s">
        <v>3588</v>
      </c>
      <c r="B50" t="s">
        <v>11</v>
      </c>
      <c r="C50">
        <v>4</v>
      </c>
      <c r="E50">
        <v>25997.337</v>
      </c>
      <c r="H50">
        <v>1.3220000000000001</v>
      </c>
    </row>
    <row r="51" spans="1:8">
      <c r="A51" t="s">
        <v>3588</v>
      </c>
      <c r="B51" t="s">
        <v>11</v>
      </c>
      <c r="C51">
        <v>3</v>
      </c>
      <c r="E51">
        <v>26189.445</v>
      </c>
      <c r="H51">
        <v>1.3069999999999999</v>
      </c>
    </row>
    <row r="52" spans="1:8">
      <c r="A52" t="s">
        <v>3588</v>
      </c>
      <c r="B52" t="s">
        <v>11</v>
      </c>
      <c r="C52">
        <v>1</v>
      </c>
      <c r="E52">
        <v>26283.821</v>
      </c>
    </row>
    <row r="53" spans="1:8">
      <c r="A53" t="s">
        <v>3588</v>
      </c>
      <c r="B53" t="s">
        <v>11</v>
      </c>
      <c r="C53">
        <v>2</v>
      </c>
      <c r="E53">
        <v>26335.815999999999</v>
      </c>
      <c r="H53">
        <v>1.0309999999999999</v>
      </c>
    </row>
    <row r="54" spans="1:8">
      <c r="A54" t="s">
        <v>3582</v>
      </c>
      <c r="B54" t="s">
        <v>24</v>
      </c>
      <c r="C54">
        <v>1</v>
      </c>
      <c r="E54">
        <v>26414.806</v>
      </c>
      <c r="H54">
        <v>1.41</v>
      </c>
    </row>
    <row r="55" spans="1:8">
      <c r="A55" t="s">
        <v>3582</v>
      </c>
      <c r="B55" t="s">
        <v>24</v>
      </c>
      <c r="C55">
        <v>0</v>
      </c>
      <c r="E55">
        <v>26450.019</v>
      </c>
    </row>
    <row r="56" spans="1:8">
      <c r="A56" t="s">
        <v>3582</v>
      </c>
      <c r="B56" t="s">
        <v>24</v>
      </c>
      <c r="C56">
        <v>2</v>
      </c>
      <c r="E56">
        <v>27415.053</v>
      </c>
      <c r="H56">
        <v>1.41</v>
      </c>
    </row>
    <row r="57" spans="1:8">
      <c r="A57" t="s">
        <v>3580</v>
      </c>
      <c r="B57" t="s">
        <v>25</v>
      </c>
      <c r="C57">
        <v>4</v>
      </c>
      <c r="E57">
        <v>26635.82</v>
      </c>
      <c r="H57">
        <v>1.014</v>
      </c>
    </row>
    <row r="58" spans="1:8">
      <c r="A58" t="s">
        <v>3589</v>
      </c>
      <c r="B58" t="s">
        <v>52</v>
      </c>
      <c r="C58">
        <v>3</v>
      </c>
      <c r="E58">
        <v>26638.741999999998</v>
      </c>
      <c r="H58">
        <v>1.234</v>
      </c>
    </row>
    <row r="59" spans="1:8">
      <c r="A59" t="s">
        <v>3589</v>
      </c>
      <c r="B59" t="s">
        <v>52</v>
      </c>
      <c r="C59">
        <v>2</v>
      </c>
      <c r="E59">
        <v>26758.66</v>
      </c>
      <c r="H59">
        <v>1.24</v>
      </c>
    </row>
    <row r="60" spans="1:8">
      <c r="A60" t="s">
        <v>3589</v>
      </c>
      <c r="B60" t="s">
        <v>52</v>
      </c>
      <c r="C60">
        <v>1</v>
      </c>
      <c r="E60">
        <v>27362.455999999998</v>
      </c>
      <c r="H60">
        <v>1.06</v>
      </c>
    </row>
    <row r="61" spans="1:8">
      <c r="A61" t="s">
        <v>3590</v>
      </c>
      <c r="B61" t="s">
        <v>19</v>
      </c>
      <c r="C61">
        <v>2</v>
      </c>
      <c r="E61">
        <v>27093.241999999998</v>
      </c>
      <c r="H61">
        <v>0.89</v>
      </c>
    </row>
    <row r="62" spans="1:8">
      <c r="A62" t="s">
        <v>3590</v>
      </c>
      <c r="B62" t="s">
        <v>19</v>
      </c>
      <c r="C62">
        <v>4</v>
      </c>
      <c r="E62">
        <v>27765.594000000001</v>
      </c>
      <c r="H62">
        <v>1.125</v>
      </c>
    </row>
    <row r="63" spans="1:8">
      <c r="A63" t="s">
        <v>3590</v>
      </c>
      <c r="B63" t="s">
        <v>19</v>
      </c>
      <c r="C63">
        <v>3</v>
      </c>
      <c r="E63">
        <v>27774.421999999999</v>
      </c>
      <c r="H63">
        <v>1.0549999999999999</v>
      </c>
    </row>
    <row r="64" spans="1:8">
      <c r="A64" t="s">
        <v>3580</v>
      </c>
      <c r="B64" t="s">
        <v>43</v>
      </c>
      <c r="C64">
        <v>4</v>
      </c>
      <c r="E64">
        <v>27341.924999999999</v>
      </c>
      <c r="H64">
        <v>1.075</v>
      </c>
    </row>
    <row r="65" spans="1:8">
      <c r="A65" t="s">
        <v>3580</v>
      </c>
      <c r="B65" t="s">
        <v>43</v>
      </c>
      <c r="C65">
        <v>3</v>
      </c>
      <c r="E65">
        <v>27383.838</v>
      </c>
      <c r="H65">
        <v>0.91300000000000003</v>
      </c>
    </row>
    <row r="66" spans="1:8">
      <c r="A66" t="s">
        <v>3580</v>
      </c>
      <c r="B66" t="s">
        <v>43</v>
      </c>
      <c r="C66">
        <v>5</v>
      </c>
      <c r="E66">
        <v>27726.714</v>
      </c>
      <c r="H66">
        <v>1.2190000000000001</v>
      </c>
    </row>
    <row r="67" spans="1:8">
      <c r="A67" t="s">
        <v>3591</v>
      </c>
      <c r="B67" t="s">
        <v>51</v>
      </c>
      <c r="C67">
        <v>0</v>
      </c>
      <c r="E67">
        <v>27866.684000000001</v>
      </c>
    </row>
    <row r="68" spans="1:8">
      <c r="A68" t="s">
        <v>3591</v>
      </c>
      <c r="B68" t="s">
        <v>51</v>
      </c>
      <c r="C68">
        <v>1</v>
      </c>
      <c r="E68">
        <v>28274.29</v>
      </c>
    </row>
    <row r="69" spans="1:8">
      <c r="A69" t="s">
        <v>3591</v>
      </c>
      <c r="B69" t="s">
        <v>51</v>
      </c>
      <c r="C69">
        <v>2</v>
      </c>
      <c r="E69">
        <v>28666.544999999998</v>
      </c>
      <c r="H69">
        <v>2.3119999999999998</v>
      </c>
    </row>
    <row r="70" spans="1:8">
      <c r="A70" t="s">
        <v>3591</v>
      </c>
      <c r="B70" t="s">
        <v>51</v>
      </c>
      <c r="C70">
        <v>3</v>
      </c>
      <c r="E70">
        <v>28848.146000000001</v>
      </c>
      <c r="H70">
        <v>1.905</v>
      </c>
    </row>
    <row r="71" spans="1:8">
      <c r="A71" t="s">
        <v>3591</v>
      </c>
      <c r="B71" t="s">
        <v>51</v>
      </c>
      <c r="C71">
        <v>4</v>
      </c>
      <c r="E71">
        <v>29171.107</v>
      </c>
    </row>
    <row r="72" spans="1:8">
      <c r="A72" t="s">
        <v>3591</v>
      </c>
      <c r="B72" t="s">
        <v>51</v>
      </c>
      <c r="C72">
        <v>5</v>
      </c>
      <c r="E72">
        <v>29781.119999999999</v>
      </c>
      <c r="H72">
        <v>1.496</v>
      </c>
    </row>
    <row r="73" spans="1:8">
      <c r="A73" t="s">
        <v>3591</v>
      </c>
      <c r="B73" t="s">
        <v>51</v>
      </c>
      <c r="C73">
        <v>6</v>
      </c>
      <c r="E73">
        <v>30496.016</v>
      </c>
      <c r="H73">
        <v>1.5129999999999999</v>
      </c>
    </row>
    <row r="74" spans="1:8">
      <c r="A74" t="s">
        <v>3586</v>
      </c>
      <c r="B74" t="s">
        <v>1732</v>
      </c>
      <c r="C74">
        <v>6</v>
      </c>
      <c r="E74">
        <v>28241.013999999999</v>
      </c>
      <c r="H74">
        <v>1.0149999999999999</v>
      </c>
    </row>
    <row r="75" spans="1:8">
      <c r="A75" t="s">
        <v>3587</v>
      </c>
      <c r="B75" t="s">
        <v>59</v>
      </c>
      <c r="C75">
        <v>1</v>
      </c>
      <c r="E75">
        <v>28715.241999999998</v>
      </c>
      <c r="H75">
        <v>2.5</v>
      </c>
    </row>
    <row r="76" spans="1:8">
      <c r="A76" t="s">
        <v>3587</v>
      </c>
      <c r="B76" t="s">
        <v>59</v>
      </c>
      <c r="C76">
        <v>2</v>
      </c>
      <c r="E76">
        <v>28836.592000000001</v>
      </c>
      <c r="H76">
        <v>1.831</v>
      </c>
    </row>
    <row r="77" spans="1:8">
      <c r="A77" t="s">
        <v>3587</v>
      </c>
      <c r="B77" t="s">
        <v>59</v>
      </c>
      <c r="C77">
        <v>3</v>
      </c>
      <c r="E77">
        <v>28923.668000000001</v>
      </c>
      <c r="H77">
        <v>1.6679999999999999</v>
      </c>
    </row>
    <row r="78" spans="1:8">
      <c r="A78" t="s">
        <v>3588</v>
      </c>
      <c r="B78" t="s">
        <v>35</v>
      </c>
      <c r="C78">
        <v>2</v>
      </c>
      <c r="E78">
        <v>29641.989000000001</v>
      </c>
      <c r="H78">
        <v>1.02</v>
      </c>
    </row>
    <row r="79" spans="1:8">
      <c r="A79" t="s">
        <v>3588</v>
      </c>
      <c r="B79" t="s">
        <v>35</v>
      </c>
      <c r="C79">
        <v>3</v>
      </c>
      <c r="E79">
        <v>30159.581999999999</v>
      </c>
      <c r="H79">
        <v>1.089</v>
      </c>
    </row>
    <row r="80" spans="1:8">
      <c r="A80" t="s">
        <v>3588</v>
      </c>
      <c r="B80" t="s">
        <v>35</v>
      </c>
      <c r="C80">
        <v>4</v>
      </c>
      <c r="E80">
        <v>30501.944</v>
      </c>
      <c r="H80">
        <v>1.111</v>
      </c>
    </row>
    <row r="81" spans="1:8">
      <c r="A81" t="s">
        <v>3592</v>
      </c>
      <c r="B81" t="s">
        <v>36</v>
      </c>
      <c r="C81">
        <v>4</v>
      </c>
      <c r="E81">
        <v>29842.148000000001</v>
      </c>
      <c r="H81">
        <v>0.86399999999999999</v>
      </c>
    </row>
    <row r="82" spans="1:8">
      <c r="A82" t="s">
        <v>3592</v>
      </c>
      <c r="B82" t="s">
        <v>36</v>
      </c>
      <c r="C82">
        <v>5</v>
      </c>
      <c r="E82">
        <v>29981.714</v>
      </c>
      <c r="H82">
        <v>1.091</v>
      </c>
    </row>
    <row r="83" spans="1:8">
      <c r="A83" t="s">
        <v>3592</v>
      </c>
      <c r="B83" t="s">
        <v>36</v>
      </c>
      <c r="C83">
        <v>6</v>
      </c>
      <c r="E83">
        <v>30113.151000000002</v>
      </c>
      <c r="H83">
        <v>1.1200000000000001</v>
      </c>
    </row>
    <row r="84" spans="1:8">
      <c r="A84" t="s">
        <v>3591</v>
      </c>
      <c r="B84" t="s">
        <v>42</v>
      </c>
      <c r="C84">
        <v>1</v>
      </c>
      <c r="E84">
        <v>30846.583999999999</v>
      </c>
      <c r="H84">
        <v>2.8940000000000001</v>
      </c>
    </row>
    <row r="85" spans="1:8">
      <c r="A85" t="s">
        <v>3591</v>
      </c>
      <c r="B85" t="s">
        <v>42</v>
      </c>
      <c r="C85">
        <v>2</v>
      </c>
      <c r="E85">
        <v>31154.935000000001</v>
      </c>
      <c r="H85">
        <v>2.0339999999999998</v>
      </c>
    </row>
    <row r="86" spans="1:8">
      <c r="A86" t="s">
        <v>3591</v>
      </c>
      <c r="B86" t="s">
        <v>42</v>
      </c>
      <c r="C86">
        <v>3</v>
      </c>
      <c r="E86">
        <v>31654.786</v>
      </c>
      <c r="H86">
        <v>1.744</v>
      </c>
    </row>
    <row r="87" spans="1:8">
      <c r="A87" t="s">
        <v>3591</v>
      </c>
      <c r="B87" t="s">
        <v>42</v>
      </c>
      <c r="C87">
        <v>4</v>
      </c>
      <c r="E87">
        <v>32123.128000000001</v>
      </c>
      <c r="H87">
        <v>1.6579999999999999</v>
      </c>
    </row>
    <row r="88" spans="1:8">
      <c r="A88" t="s">
        <v>3591</v>
      </c>
      <c r="B88" t="s">
        <v>42</v>
      </c>
      <c r="C88">
        <v>5</v>
      </c>
      <c r="E88">
        <v>32611.837</v>
      </c>
      <c r="H88">
        <v>1.5680000000000001</v>
      </c>
    </row>
    <row r="89" spans="1:8">
      <c r="A89" t="s">
        <v>3591</v>
      </c>
      <c r="B89" t="s">
        <v>1719</v>
      </c>
      <c r="C89">
        <v>2</v>
      </c>
      <c r="E89">
        <v>31299.876</v>
      </c>
      <c r="H89">
        <v>2.2730000000000001</v>
      </c>
    </row>
    <row r="90" spans="1:8">
      <c r="A90" t="s">
        <v>3591</v>
      </c>
      <c r="B90" t="s">
        <v>1719</v>
      </c>
      <c r="C90">
        <v>3</v>
      </c>
      <c r="E90">
        <v>31533.205999999998</v>
      </c>
      <c r="H90">
        <v>1.84</v>
      </c>
    </row>
    <row r="91" spans="1:8">
      <c r="A91" t="s">
        <v>3591</v>
      </c>
      <c r="B91" t="s">
        <v>1719</v>
      </c>
      <c r="C91">
        <v>4</v>
      </c>
      <c r="E91">
        <v>31913.170999999998</v>
      </c>
      <c r="H91">
        <v>1.73</v>
      </c>
    </row>
    <row r="92" spans="1:8">
      <c r="A92" t="s">
        <v>3580</v>
      </c>
      <c r="B92" t="s">
        <v>1738</v>
      </c>
      <c r="C92">
        <v>6</v>
      </c>
      <c r="E92">
        <v>31484.615000000002</v>
      </c>
      <c r="H92">
        <v>1.028</v>
      </c>
    </row>
    <row r="93" spans="1:8">
      <c r="A93" t="s">
        <v>3593</v>
      </c>
      <c r="B93" t="s">
        <v>1747</v>
      </c>
      <c r="C93">
        <v>4</v>
      </c>
      <c r="E93">
        <v>31510.559000000001</v>
      </c>
    </row>
    <row r="94" spans="1:8">
      <c r="A94" t="s">
        <v>3593</v>
      </c>
      <c r="B94" t="s">
        <v>1747</v>
      </c>
      <c r="C94">
        <v>5</v>
      </c>
      <c r="E94">
        <v>32279.021000000001</v>
      </c>
    </row>
    <row r="95" spans="1:8">
      <c r="A95" t="s">
        <v>3593</v>
      </c>
      <c r="B95" t="s">
        <v>38</v>
      </c>
      <c r="C95">
        <v>4</v>
      </c>
      <c r="E95">
        <v>32688.27</v>
      </c>
      <c r="H95">
        <v>0.96</v>
      </c>
    </row>
    <row r="96" spans="1:8">
      <c r="A96" t="s">
        <v>3591</v>
      </c>
      <c r="B96" t="s">
        <v>68</v>
      </c>
      <c r="C96">
        <v>1</v>
      </c>
      <c r="E96">
        <v>32898.741999999998</v>
      </c>
      <c r="H96">
        <v>2.5499999999999998</v>
      </c>
    </row>
    <row r="97" spans="1:8">
      <c r="A97" t="s">
        <v>3591</v>
      </c>
      <c r="B97" t="s">
        <v>68</v>
      </c>
      <c r="C97">
        <v>2</v>
      </c>
      <c r="E97">
        <v>33299.029000000002</v>
      </c>
      <c r="H97">
        <v>1.8380000000000001</v>
      </c>
    </row>
    <row r="98" spans="1:8">
      <c r="A98" t="s">
        <v>3591</v>
      </c>
      <c r="B98" t="s">
        <v>68</v>
      </c>
      <c r="C98">
        <v>3</v>
      </c>
      <c r="E98">
        <v>33955.01</v>
      </c>
      <c r="H98">
        <v>1.659</v>
      </c>
    </row>
    <row r="99" spans="1:8">
      <c r="A99" t="s">
        <v>3592</v>
      </c>
      <c r="B99" t="s">
        <v>31</v>
      </c>
      <c r="C99">
        <v>5</v>
      </c>
      <c r="E99">
        <v>33904.506000000001</v>
      </c>
      <c r="H99">
        <v>1.026</v>
      </c>
    </row>
    <row r="100" spans="1:8">
      <c r="A100" t="s">
        <v>3591</v>
      </c>
      <c r="B100" t="s">
        <v>46</v>
      </c>
      <c r="C100">
        <v>1</v>
      </c>
      <c r="E100">
        <v>34248.353999999999</v>
      </c>
      <c r="H100">
        <v>-4.0000000000000001E-3</v>
      </c>
    </row>
    <row r="101" spans="1:8">
      <c r="A101" t="s">
        <v>3591</v>
      </c>
      <c r="B101" t="s">
        <v>46</v>
      </c>
      <c r="C101">
        <v>2</v>
      </c>
      <c r="E101">
        <v>34434.660000000003</v>
      </c>
      <c r="H101">
        <v>1.01</v>
      </c>
    </row>
    <row r="102" spans="1:8">
      <c r="A102" t="s">
        <v>3591</v>
      </c>
      <c r="B102" t="s">
        <v>46</v>
      </c>
      <c r="C102">
        <v>3</v>
      </c>
      <c r="E102">
        <v>34740.379999999997</v>
      </c>
      <c r="H102">
        <v>1.258</v>
      </c>
    </row>
    <row r="103" spans="1:8">
      <c r="A103" t="s">
        <v>3591</v>
      </c>
      <c r="B103" t="s">
        <v>46</v>
      </c>
      <c r="C103">
        <v>4</v>
      </c>
      <c r="E103">
        <v>35169.406999999999</v>
      </c>
      <c r="H103">
        <v>1.3460000000000001</v>
      </c>
    </row>
    <row r="104" spans="1:8">
      <c r="A104" t="s">
        <v>3591</v>
      </c>
      <c r="B104" t="s">
        <v>46</v>
      </c>
      <c r="C104">
        <v>5</v>
      </c>
      <c r="E104">
        <v>35719.269999999997</v>
      </c>
      <c r="H104">
        <v>1.395</v>
      </c>
    </row>
    <row r="105" spans="1:8">
      <c r="A105" t="s">
        <v>3585</v>
      </c>
      <c r="B105" t="s">
        <v>3594</v>
      </c>
      <c r="C105">
        <v>6</v>
      </c>
      <c r="E105">
        <v>34810.152999999998</v>
      </c>
      <c r="H105">
        <v>1.0900000000000001</v>
      </c>
    </row>
    <row r="106" spans="1:8">
      <c r="A106" t="s">
        <v>3585</v>
      </c>
      <c r="B106" t="s">
        <v>3594</v>
      </c>
      <c r="C106">
        <v>5</v>
      </c>
      <c r="E106">
        <v>34912.076000000001</v>
      </c>
      <c r="H106">
        <v>1.1000000000000001</v>
      </c>
    </row>
    <row r="107" spans="1:8">
      <c r="A107" t="s">
        <v>3585</v>
      </c>
      <c r="B107" t="s">
        <v>3594</v>
      </c>
      <c r="C107">
        <v>4</v>
      </c>
      <c r="E107">
        <v>35042.114000000001</v>
      </c>
      <c r="H107">
        <v>0.79</v>
      </c>
    </row>
    <row r="108" spans="1:8">
      <c r="A108" t="s">
        <v>3591</v>
      </c>
      <c r="B108" t="s">
        <v>45</v>
      </c>
      <c r="C108">
        <v>0</v>
      </c>
      <c r="E108">
        <v>37128.042999999998</v>
      </c>
      <c r="H108">
        <v>0</v>
      </c>
    </row>
    <row r="109" spans="1:8">
      <c r="A109" t="s">
        <v>3591</v>
      </c>
      <c r="B109" t="s">
        <v>45</v>
      </c>
      <c r="C109">
        <v>1</v>
      </c>
      <c r="E109">
        <v>37292.964999999997</v>
      </c>
      <c r="H109">
        <v>1.4890000000000001</v>
      </c>
    </row>
    <row r="110" spans="1:8">
      <c r="A110" t="s">
        <v>3591</v>
      </c>
      <c r="B110" t="s">
        <v>45</v>
      </c>
      <c r="C110">
        <v>2</v>
      </c>
      <c r="E110">
        <v>37579.173999999999</v>
      </c>
      <c r="H110">
        <v>1.4730000000000001</v>
      </c>
    </row>
    <row r="111" spans="1:8">
      <c r="A111" t="s">
        <v>3591</v>
      </c>
      <c r="B111" t="s">
        <v>45</v>
      </c>
      <c r="C111">
        <v>3</v>
      </c>
      <c r="E111">
        <v>37968.417999999998</v>
      </c>
      <c r="H111">
        <v>1.492</v>
      </c>
    </row>
    <row r="112" spans="1:8">
      <c r="A112" t="s">
        <v>3591</v>
      </c>
      <c r="B112" t="s">
        <v>45</v>
      </c>
      <c r="C112">
        <v>4</v>
      </c>
      <c r="E112">
        <v>38423.03</v>
      </c>
      <c r="H112">
        <v>1.482</v>
      </c>
    </row>
    <row r="113" spans="1:8">
      <c r="A113" t="s">
        <v>3595</v>
      </c>
      <c r="B113" t="s">
        <v>58</v>
      </c>
      <c r="C113">
        <v>0</v>
      </c>
      <c r="E113">
        <v>37365.61</v>
      </c>
      <c r="H113">
        <v>0</v>
      </c>
    </row>
    <row r="114" spans="1:8">
      <c r="A114" t="s">
        <v>3595</v>
      </c>
      <c r="B114" t="s">
        <v>58</v>
      </c>
      <c r="C114">
        <v>1</v>
      </c>
      <c r="E114">
        <v>37901.516000000003</v>
      </c>
      <c r="H114">
        <v>1.4910000000000001</v>
      </c>
    </row>
    <row r="115" spans="1:8">
      <c r="A115" t="s">
        <v>3595</v>
      </c>
      <c r="B115" t="s">
        <v>58</v>
      </c>
      <c r="C115">
        <v>2</v>
      </c>
      <c r="E115">
        <v>38522.192000000003</v>
      </c>
      <c r="H115">
        <v>1.4710000000000001</v>
      </c>
    </row>
    <row r="116" spans="1:8">
      <c r="A116" t="s">
        <v>3595</v>
      </c>
      <c r="B116" t="s">
        <v>58</v>
      </c>
      <c r="C116">
        <v>3</v>
      </c>
      <c r="E116">
        <v>39159.828000000001</v>
      </c>
      <c r="H116">
        <v>1.2509999999999999</v>
      </c>
    </row>
    <row r="117" spans="1:8">
      <c r="A117" t="s">
        <v>3595</v>
      </c>
      <c r="B117" t="s">
        <v>58</v>
      </c>
      <c r="C117">
        <v>4</v>
      </c>
      <c r="E117">
        <v>39915.644</v>
      </c>
      <c r="H117">
        <v>1.4630000000000001</v>
      </c>
    </row>
    <row r="118" spans="1:8">
      <c r="B118" t="s">
        <v>3596</v>
      </c>
      <c r="C118">
        <v>1</v>
      </c>
      <c r="E118">
        <v>38626.5</v>
      </c>
      <c r="F118" t="s">
        <v>34</v>
      </c>
      <c r="H118">
        <v>1.4430000000000001</v>
      </c>
    </row>
    <row r="119" spans="1:8">
      <c r="A119" t="s">
        <v>3597</v>
      </c>
      <c r="B119" t="s">
        <v>50</v>
      </c>
      <c r="C119">
        <v>2</v>
      </c>
      <c r="E119">
        <v>38983.332000000002</v>
      </c>
      <c r="H119">
        <v>0.42799999999999999</v>
      </c>
    </row>
    <row r="120" spans="1:8">
      <c r="A120" t="s">
        <v>3597</v>
      </c>
      <c r="B120" t="s">
        <v>50</v>
      </c>
      <c r="C120">
        <v>3</v>
      </c>
      <c r="E120">
        <v>39121.438999999998</v>
      </c>
      <c r="H120">
        <v>1.07</v>
      </c>
    </row>
    <row r="121" spans="1:8">
      <c r="A121" t="s">
        <v>3597</v>
      </c>
      <c r="B121" t="s">
        <v>50</v>
      </c>
      <c r="C121">
        <v>4</v>
      </c>
      <c r="E121">
        <v>39289.563999999998</v>
      </c>
    </row>
    <row r="122" spans="1:8">
      <c r="A122" t="s">
        <v>3597</v>
      </c>
      <c r="B122" t="s">
        <v>50</v>
      </c>
      <c r="C122">
        <v>5</v>
      </c>
      <c r="E122">
        <v>39445.182000000001</v>
      </c>
    </row>
    <row r="123" spans="1:8">
      <c r="A123" t="s">
        <v>3597</v>
      </c>
      <c r="B123" t="s">
        <v>50</v>
      </c>
      <c r="C123">
        <v>6</v>
      </c>
      <c r="E123">
        <v>39600</v>
      </c>
    </row>
    <row r="124" spans="1:8">
      <c r="A124" t="s">
        <v>3595</v>
      </c>
      <c r="B124" t="s">
        <v>129</v>
      </c>
      <c r="C124">
        <v>1</v>
      </c>
      <c r="E124">
        <v>39358.533000000003</v>
      </c>
      <c r="H124">
        <v>2.4849999999999999</v>
      </c>
    </row>
    <row r="125" spans="1:8">
      <c r="A125" t="s">
        <v>3595</v>
      </c>
      <c r="B125" t="s">
        <v>129</v>
      </c>
      <c r="C125">
        <v>2</v>
      </c>
      <c r="E125">
        <v>39462.646999999997</v>
      </c>
      <c r="H125">
        <v>1.696</v>
      </c>
    </row>
    <row r="126" spans="1:8">
      <c r="A126" t="s">
        <v>3595</v>
      </c>
      <c r="B126" t="s">
        <v>129</v>
      </c>
      <c r="C126">
        <v>3</v>
      </c>
      <c r="E126">
        <v>39960.468999999997</v>
      </c>
      <c r="H126">
        <v>1.282</v>
      </c>
    </row>
    <row r="127" spans="1:8">
      <c r="A127" t="s">
        <v>3585</v>
      </c>
      <c r="B127" t="s">
        <v>3598</v>
      </c>
      <c r="C127">
        <v>6</v>
      </c>
      <c r="E127">
        <v>39521.055999999997</v>
      </c>
      <c r="H127">
        <v>0.98199999999999998</v>
      </c>
    </row>
    <row r="128" spans="1:8">
      <c r="A128" t="s">
        <v>3599</v>
      </c>
      <c r="B128" t="s">
        <v>1745</v>
      </c>
      <c r="C128">
        <v>3</v>
      </c>
      <c r="E128">
        <v>39675.531999999999</v>
      </c>
      <c r="H128">
        <v>1.992</v>
      </c>
    </row>
    <row r="129" spans="1:8">
      <c r="A129" t="s">
        <v>3597</v>
      </c>
      <c r="B129" t="s">
        <v>1762</v>
      </c>
      <c r="C129">
        <v>3</v>
      </c>
      <c r="E129">
        <v>39749.894</v>
      </c>
    </row>
    <row r="130" spans="1:8">
      <c r="A130" t="s">
        <v>3597</v>
      </c>
      <c r="B130" t="s">
        <v>1762</v>
      </c>
      <c r="C130">
        <v>4</v>
      </c>
      <c r="E130">
        <v>40067.716999999997</v>
      </c>
    </row>
    <row r="131" spans="1:8">
      <c r="A131" t="s">
        <v>3597</v>
      </c>
      <c r="B131" t="s">
        <v>1762</v>
      </c>
      <c r="C131">
        <v>5</v>
      </c>
      <c r="E131">
        <v>40367.264000000003</v>
      </c>
    </row>
    <row r="132" spans="1:8">
      <c r="A132" t="s">
        <v>3597</v>
      </c>
      <c r="B132" t="s">
        <v>1762</v>
      </c>
      <c r="C132">
        <v>6</v>
      </c>
      <c r="E132">
        <v>40653.701000000001</v>
      </c>
    </row>
    <row r="133" spans="1:8">
      <c r="A133" t="s">
        <v>3595</v>
      </c>
      <c r="B133" t="s">
        <v>63</v>
      </c>
      <c r="C133">
        <v>1</v>
      </c>
      <c r="E133">
        <v>39779.89</v>
      </c>
      <c r="F133" t="s">
        <v>34</v>
      </c>
    </row>
    <row r="134" spans="1:8">
      <c r="A134" t="s">
        <v>3595</v>
      </c>
      <c r="B134" t="s">
        <v>63</v>
      </c>
      <c r="C134">
        <v>2</v>
      </c>
      <c r="E134">
        <v>39821.353999999999</v>
      </c>
      <c r="H134">
        <v>1.3460000000000001</v>
      </c>
    </row>
    <row r="135" spans="1:8">
      <c r="A135" t="s">
        <v>3595</v>
      </c>
      <c r="B135" t="s">
        <v>54</v>
      </c>
      <c r="C135">
        <v>3</v>
      </c>
    </row>
    <row r="136" spans="1:8">
      <c r="A136" t="s">
        <v>3595</v>
      </c>
      <c r="B136" t="s">
        <v>54</v>
      </c>
      <c r="C136">
        <v>2</v>
      </c>
      <c r="E136">
        <v>39989.061000000002</v>
      </c>
      <c r="H136">
        <v>1.35</v>
      </c>
    </row>
    <row r="137" spans="1:8">
      <c r="A137" t="s">
        <v>3595</v>
      </c>
      <c r="B137" t="s">
        <v>54</v>
      </c>
      <c r="C137">
        <v>4</v>
      </c>
      <c r="E137">
        <v>40843.482000000004</v>
      </c>
      <c r="H137">
        <v>1.256</v>
      </c>
    </row>
    <row r="138" spans="1:8">
      <c r="A138" t="s">
        <v>3595</v>
      </c>
      <c r="B138" t="s">
        <v>55</v>
      </c>
      <c r="C138">
        <v>1</v>
      </c>
      <c r="E138">
        <v>40036.94</v>
      </c>
      <c r="H138">
        <v>0.78100000000000003</v>
      </c>
    </row>
    <row r="139" spans="1:8">
      <c r="A139" t="s">
        <v>3595</v>
      </c>
      <c r="B139" t="s">
        <v>55</v>
      </c>
      <c r="C139">
        <v>2</v>
      </c>
      <c r="E139">
        <v>40566.167000000001</v>
      </c>
      <c r="H139">
        <v>1.1599999999999999</v>
      </c>
    </row>
    <row r="140" spans="1:8">
      <c r="A140" t="s">
        <v>3595</v>
      </c>
      <c r="B140" t="s">
        <v>55</v>
      </c>
      <c r="C140">
        <v>3</v>
      </c>
      <c r="E140">
        <v>40964.04</v>
      </c>
      <c r="H140">
        <v>1.278</v>
      </c>
    </row>
    <row r="141" spans="1:8">
      <c r="B141" t="s">
        <v>3600</v>
      </c>
      <c r="C141">
        <v>2</v>
      </c>
      <c r="E141">
        <v>40240.839999999997</v>
      </c>
      <c r="F141" t="s">
        <v>34</v>
      </c>
    </row>
    <row r="142" spans="1:8">
      <c r="A142" t="s">
        <v>3601</v>
      </c>
      <c r="B142" t="s">
        <v>61</v>
      </c>
      <c r="C142">
        <v>3</v>
      </c>
      <c r="E142">
        <v>40488.277000000002</v>
      </c>
      <c r="H142">
        <v>1.47</v>
      </c>
    </row>
    <row r="143" spans="1:8">
      <c r="A143" t="s">
        <v>3601</v>
      </c>
      <c r="B143" t="s">
        <v>61</v>
      </c>
      <c r="C143">
        <v>1</v>
      </c>
      <c r="E143">
        <v>40698.381999999998</v>
      </c>
      <c r="H143">
        <v>1.393</v>
      </c>
    </row>
    <row r="144" spans="1:8">
      <c r="A144" t="s">
        <v>3601</v>
      </c>
      <c r="B144" t="s">
        <v>61</v>
      </c>
      <c r="C144">
        <v>0</v>
      </c>
      <c r="E144">
        <v>40735.917999999998</v>
      </c>
      <c r="H144">
        <v>0</v>
      </c>
    </row>
    <row r="145" spans="1:8">
      <c r="A145" t="s">
        <v>3601</v>
      </c>
      <c r="B145" t="s">
        <v>61</v>
      </c>
      <c r="C145">
        <v>2</v>
      </c>
      <c r="E145">
        <v>40828.781000000003</v>
      </c>
      <c r="H145">
        <v>1.474</v>
      </c>
    </row>
    <row r="146" spans="1:8">
      <c r="A146" t="s">
        <v>3599</v>
      </c>
      <c r="B146" t="s">
        <v>182</v>
      </c>
      <c r="C146">
        <v>2</v>
      </c>
      <c r="E146">
        <v>40840.330999999998</v>
      </c>
    </row>
    <row r="147" spans="1:8">
      <c r="A147" t="s">
        <v>3597</v>
      </c>
      <c r="B147" t="s">
        <v>60</v>
      </c>
      <c r="C147">
        <v>1</v>
      </c>
      <c r="E147">
        <v>41011.663999999997</v>
      </c>
      <c r="H147">
        <v>1.2350000000000001</v>
      </c>
    </row>
    <row r="148" spans="1:8">
      <c r="A148" t="s">
        <v>3597</v>
      </c>
      <c r="B148" t="s">
        <v>60</v>
      </c>
      <c r="C148">
        <v>2</v>
      </c>
      <c r="E148">
        <v>41031.974000000002</v>
      </c>
      <c r="H148">
        <v>1.0529999999999999</v>
      </c>
    </row>
    <row r="149" spans="1:8">
      <c r="A149" t="s">
        <v>3597</v>
      </c>
      <c r="B149" t="s">
        <v>60</v>
      </c>
      <c r="C149">
        <v>3</v>
      </c>
      <c r="E149">
        <v>41224.385999999999</v>
      </c>
      <c r="H149">
        <v>1.2589999999999999</v>
      </c>
    </row>
    <row r="150" spans="1:8">
      <c r="A150" t="s">
        <v>3597</v>
      </c>
      <c r="B150" t="s">
        <v>60</v>
      </c>
      <c r="C150">
        <v>5</v>
      </c>
      <c r="E150">
        <v>41347.663999999997</v>
      </c>
      <c r="H150">
        <v>1.385</v>
      </c>
    </row>
    <row r="151" spans="1:8">
      <c r="A151" t="s">
        <v>3597</v>
      </c>
      <c r="B151" t="s">
        <v>60</v>
      </c>
      <c r="C151">
        <v>4</v>
      </c>
      <c r="E151">
        <v>41395.523000000001</v>
      </c>
      <c r="H151">
        <v>1.343</v>
      </c>
    </row>
    <row r="152" spans="1:8">
      <c r="B152" t="s">
        <v>3602</v>
      </c>
      <c r="C152">
        <v>1</v>
      </c>
      <c r="E152">
        <v>41398.339999999997</v>
      </c>
      <c r="H152">
        <v>1.0669999999999999</v>
      </c>
    </row>
    <row r="153" spans="1:8">
      <c r="A153" t="s">
        <v>3597</v>
      </c>
      <c r="B153" t="s">
        <v>65</v>
      </c>
      <c r="C153">
        <v>2</v>
      </c>
      <c r="E153">
        <v>41484.449999999997</v>
      </c>
      <c r="H153">
        <v>0.78100000000000003</v>
      </c>
    </row>
    <row r="154" spans="1:8">
      <c r="A154" t="s">
        <v>3597</v>
      </c>
      <c r="B154" t="s">
        <v>65</v>
      </c>
      <c r="C154">
        <v>3</v>
      </c>
      <c r="E154">
        <v>41849.838000000003</v>
      </c>
      <c r="H154">
        <v>1.0840000000000001</v>
      </c>
    </row>
    <row r="155" spans="1:8">
      <c r="A155" t="s">
        <v>3597</v>
      </c>
      <c r="B155" t="s">
        <v>65</v>
      </c>
      <c r="C155">
        <v>4</v>
      </c>
      <c r="E155">
        <v>42087.533000000003</v>
      </c>
      <c r="H155">
        <v>1.2250000000000001</v>
      </c>
    </row>
    <row r="156" spans="1:8">
      <c r="B156" t="s">
        <v>3603</v>
      </c>
      <c r="C156">
        <v>2</v>
      </c>
      <c r="E156">
        <v>41807</v>
      </c>
    </row>
    <row r="157" spans="1:8">
      <c r="A157" t="s">
        <v>3604</v>
      </c>
      <c r="B157" t="s">
        <v>102</v>
      </c>
      <c r="C157">
        <v>1</v>
      </c>
      <c r="E157">
        <v>42156.078999999998</v>
      </c>
      <c r="H157">
        <v>1.4379999999999999</v>
      </c>
    </row>
    <row r="158" spans="1:8">
      <c r="A158" t="s">
        <v>3604</v>
      </c>
      <c r="B158" t="s">
        <v>102</v>
      </c>
      <c r="C158">
        <v>0</v>
      </c>
      <c r="E158">
        <v>42173.008000000002</v>
      </c>
      <c r="H158">
        <v>0</v>
      </c>
    </row>
    <row r="159" spans="1:8">
      <c r="A159" t="s">
        <v>3604</v>
      </c>
      <c r="B159" t="s">
        <v>102</v>
      </c>
      <c r="C159">
        <v>2</v>
      </c>
      <c r="E159">
        <v>42237.313999999998</v>
      </c>
      <c r="H159">
        <v>1.4419999999999999</v>
      </c>
    </row>
    <row r="160" spans="1:8">
      <c r="A160" t="s">
        <v>3604</v>
      </c>
      <c r="B160" t="s">
        <v>102</v>
      </c>
      <c r="C160">
        <v>3</v>
      </c>
      <c r="E160">
        <v>42422.322999999997</v>
      </c>
      <c r="H160">
        <v>1.425</v>
      </c>
    </row>
    <row r="161" spans="1:8">
      <c r="A161" t="s">
        <v>3604</v>
      </c>
      <c r="B161" t="s">
        <v>102</v>
      </c>
      <c r="C161">
        <v>4</v>
      </c>
      <c r="E161">
        <v>42741.803999999996</v>
      </c>
      <c r="H161">
        <v>1.403</v>
      </c>
    </row>
    <row r="162" spans="1:8">
      <c r="A162" t="s">
        <v>3597</v>
      </c>
      <c r="B162" t="s">
        <v>66</v>
      </c>
      <c r="C162">
        <v>4</v>
      </c>
      <c r="E162">
        <v>42185.838000000003</v>
      </c>
      <c r="H162">
        <v>0.85099999999999998</v>
      </c>
    </row>
    <row r="163" spans="1:8">
      <c r="A163" t="s">
        <v>3597</v>
      </c>
      <c r="B163" t="s">
        <v>66</v>
      </c>
      <c r="C163">
        <v>5</v>
      </c>
      <c r="E163">
        <v>42283.18</v>
      </c>
    </row>
    <row r="164" spans="1:8">
      <c r="A164" t="s">
        <v>3597</v>
      </c>
      <c r="B164" t="s">
        <v>66</v>
      </c>
      <c r="C164">
        <v>6</v>
      </c>
      <c r="E164">
        <v>42344.928999999996</v>
      </c>
      <c r="H164">
        <v>1.258</v>
      </c>
    </row>
    <row r="165" spans="1:8">
      <c r="B165" t="s">
        <v>3605</v>
      </c>
      <c r="C165">
        <v>2</v>
      </c>
      <c r="E165">
        <v>42783.152999999998</v>
      </c>
    </row>
    <row r="166" spans="1:8">
      <c r="B166" t="s">
        <v>3606</v>
      </c>
      <c r="C166">
        <v>1</v>
      </c>
      <c r="E166">
        <v>42936.72</v>
      </c>
    </row>
    <row r="167" spans="1:8">
      <c r="A167" t="s">
        <v>3597</v>
      </c>
      <c r="B167" t="s">
        <v>49</v>
      </c>
      <c r="C167">
        <v>3</v>
      </c>
      <c r="E167">
        <v>42969.964</v>
      </c>
      <c r="H167">
        <v>0.88400000000000001</v>
      </c>
    </row>
    <row r="168" spans="1:8">
      <c r="A168" t="s">
        <v>3597</v>
      </c>
      <c r="B168" t="s">
        <v>49</v>
      </c>
      <c r="C168">
        <v>4</v>
      </c>
      <c r="E168">
        <v>43196.875999999997</v>
      </c>
      <c r="H168">
        <v>1.097</v>
      </c>
    </row>
    <row r="169" spans="1:8">
      <c r="A169" t="s">
        <v>3597</v>
      </c>
      <c r="B169" t="s">
        <v>49</v>
      </c>
      <c r="C169">
        <v>5</v>
      </c>
      <c r="E169">
        <v>43945.68</v>
      </c>
      <c r="H169">
        <v>1.359</v>
      </c>
    </row>
    <row r="170" spans="1:8">
      <c r="A170" t="s">
        <v>3604</v>
      </c>
      <c r="B170" t="s">
        <v>104</v>
      </c>
      <c r="C170">
        <v>2</v>
      </c>
      <c r="E170">
        <v>43045.464999999997</v>
      </c>
      <c r="H170">
        <v>1.03</v>
      </c>
    </row>
    <row r="171" spans="1:8">
      <c r="A171" t="s">
        <v>3604</v>
      </c>
      <c r="B171" t="s">
        <v>104</v>
      </c>
      <c r="C171">
        <v>3</v>
      </c>
      <c r="E171">
        <v>43245.567000000003</v>
      </c>
      <c r="H171">
        <v>1.248</v>
      </c>
    </row>
    <row r="172" spans="1:8">
      <c r="A172" t="s">
        <v>3604</v>
      </c>
      <c r="B172" t="s">
        <v>104</v>
      </c>
      <c r="C172">
        <v>5</v>
      </c>
      <c r="E172">
        <v>43299.059000000001</v>
      </c>
      <c r="H172">
        <v>1.363</v>
      </c>
    </row>
    <row r="173" spans="1:8">
      <c r="A173" t="s">
        <v>3604</v>
      </c>
      <c r="B173" t="s">
        <v>104</v>
      </c>
      <c r="C173">
        <v>4</v>
      </c>
      <c r="E173">
        <v>43529.883999999998</v>
      </c>
      <c r="H173">
        <v>1.365</v>
      </c>
    </row>
    <row r="174" spans="1:8">
      <c r="B174" t="s">
        <v>3607</v>
      </c>
      <c r="C174">
        <v>5</v>
      </c>
      <c r="E174">
        <v>43566.436999999998</v>
      </c>
    </row>
    <row r="175" spans="1:8">
      <c r="A175" t="s">
        <v>3608</v>
      </c>
      <c r="B175" t="s">
        <v>1786</v>
      </c>
      <c r="C175">
        <v>4</v>
      </c>
      <c r="E175">
        <v>43598.470999999998</v>
      </c>
      <c r="H175">
        <v>0.77900000000000003</v>
      </c>
    </row>
    <row r="176" spans="1:8">
      <c r="A176" t="s">
        <v>3608</v>
      </c>
      <c r="B176" t="s">
        <v>1786</v>
      </c>
      <c r="C176">
        <v>5</v>
      </c>
      <c r="E176">
        <v>44330.156000000003</v>
      </c>
      <c r="H176">
        <v>0.95599999999999996</v>
      </c>
    </row>
    <row r="177" spans="1:8">
      <c r="A177" t="s">
        <v>3608</v>
      </c>
      <c r="B177" t="s">
        <v>1803</v>
      </c>
      <c r="C177">
        <v>3</v>
      </c>
      <c r="E177">
        <v>43697.423000000003</v>
      </c>
      <c r="H177">
        <v>0.55400000000000005</v>
      </c>
    </row>
    <row r="178" spans="1:8">
      <c r="A178" t="s">
        <v>3608</v>
      </c>
      <c r="B178" t="s">
        <v>1803</v>
      </c>
      <c r="C178">
        <v>4</v>
      </c>
      <c r="E178">
        <v>44012.319000000003</v>
      </c>
      <c r="H178">
        <v>0.86699999999999999</v>
      </c>
    </row>
    <row r="179" spans="1:8">
      <c r="A179" t="s">
        <v>3608</v>
      </c>
      <c r="B179" t="s">
        <v>1803</v>
      </c>
      <c r="C179">
        <v>5</v>
      </c>
      <c r="E179">
        <v>44444.51</v>
      </c>
      <c r="F179" t="s">
        <v>34</v>
      </c>
    </row>
    <row r="180" spans="1:8">
      <c r="A180" t="s">
        <v>3608</v>
      </c>
      <c r="B180" t="s">
        <v>1803</v>
      </c>
      <c r="C180">
        <v>6</v>
      </c>
      <c r="E180">
        <v>44694.826000000001</v>
      </c>
    </row>
    <row r="181" spans="1:8">
      <c r="A181" t="s">
        <v>3608</v>
      </c>
      <c r="B181" t="s">
        <v>1803</v>
      </c>
      <c r="C181">
        <v>7</v>
      </c>
      <c r="E181">
        <v>45405.9</v>
      </c>
      <c r="F181" t="s">
        <v>34</v>
      </c>
    </row>
    <row r="182" spans="1:8">
      <c r="B182" t="s">
        <v>3609</v>
      </c>
      <c r="C182">
        <v>5</v>
      </c>
      <c r="E182">
        <v>43967.097999999998</v>
      </c>
    </row>
    <row r="183" spans="1:8">
      <c r="A183" t="s">
        <v>3608</v>
      </c>
      <c r="B183" t="s">
        <v>70</v>
      </c>
      <c r="C183">
        <v>3</v>
      </c>
      <c r="E183">
        <v>43975.440999999999</v>
      </c>
    </row>
    <row r="184" spans="1:8">
      <c r="A184" t="s">
        <v>3608</v>
      </c>
      <c r="B184" t="s">
        <v>70</v>
      </c>
      <c r="C184">
        <v>4</v>
      </c>
      <c r="E184">
        <v>44460.582999999999</v>
      </c>
      <c r="H184">
        <v>1.075</v>
      </c>
    </row>
    <row r="185" spans="1:8">
      <c r="A185" t="s">
        <v>3608</v>
      </c>
      <c r="B185" t="s">
        <v>70</v>
      </c>
      <c r="C185">
        <v>5</v>
      </c>
      <c r="E185">
        <v>44759.769</v>
      </c>
      <c r="H185">
        <v>1.17</v>
      </c>
    </row>
    <row r="186" spans="1:8">
      <c r="A186" t="s">
        <v>3604</v>
      </c>
      <c r="B186" t="s">
        <v>62</v>
      </c>
      <c r="C186">
        <v>1</v>
      </c>
      <c r="E186">
        <v>44041.025999999998</v>
      </c>
    </row>
    <row r="187" spans="1:8">
      <c r="A187" t="s">
        <v>3604</v>
      </c>
      <c r="B187" t="s">
        <v>62</v>
      </c>
      <c r="C187">
        <v>2</v>
      </c>
      <c r="E187">
        <v>44524.504000000001</v>
      </c>
      <c r="H187">
        <v>1.123</v>
      </c>
    </row>
    <row r="188" spans="1:8">
      <c r="A188" t="s">
        <v>3604</v>
      </c>
      <c r="B188" t="s">
        <v>62</v>
      </c>
      <c r="C188">
        <v>3</v>
      </c>
      <c r="E188">
        <v>44921.171999999999</v>
      </c>
    </row>
    <row r="189" spans="1:8">
      <c r="A189" t="s">
        <v>3610</v>
      </c>
      <c r="B189" t="s">
        <v>157</v>
      </c>
      <c r="C189">
        <v>1</v>
      </c>
      <c r="E189">
        <v>44935.711000000003</v>
      </c>
    </row>
    <row r="190" spans="1:8">
      <c r="A190" t="s">
        <v>3610</v>
      </c>
      <c r="B190" t="s">
        <v>157</v>
      </c>
      <c r="C190">
        <v>2</v>
      </c>
      <c r="E190">
        <v>44940.343999999997</v>
      </c>
    </row>
    <row r="191" spans="1:8">
      <c r="A191" t="s">
        <v>3610</v>
      </c>
      <c r="B191" t="s">
        <v>157</v>
      </c>
      <c r="C191">
        <v>3</v>
      </c>
      <c r="E191">
        <v>44947.356</v>
      </c>
      <c r="H191">
        <v>1.94</v>
      </c>
    </row>
    <row r="192" spans="1:8">
      <c r="A192" t="s">
        <v>3610</v>
      </c>
      <c r="B192" t="s">
        <v>157</v>
      </c>
      <c r="C192">
        <v>4</v>
      </c>
      <c r="E192">
        <v>44957.078999999998</v>
      </c>
      <c r="H192">
        <v>1.65</v>
      </c>
    </row>
    <row r="193" spans="1:8">
      <c r="A193" t="s">
        <v>3610</v>
      </c>
      <c r="B193" t="s">
        <v>157</v>
      </c>
      <c r="C193">
        <v>5</v>
      </c>
      <c r="E193">
        <v>44970.159</v>
      </c>
      <c r="H193">
        <v>1.605</v>
      </c>
    </row>
    <row r="194" spans="1:8">
      <c r="B194" t="s">
        <v>3611</v>
      </c>
      <c r="C194">
        <v>4</v>
      </c>
      <c r="E194">
        <v>44951.544000000002</v>
      </c>
    </row>
    <row r="195" spans="1:8">
      <c r="B195" t="s">
        <v>3612</v>
      </c>
      <c r="C195">
        <v>1</v>
      </c>
      <c r="E195">
        <v>45081.071000000004</v>
      </c>
    </row>
    <row r="196" spans="1:8">
      <c r="B196" t="s">
        <v>105</v>
      </c>
      <c r="C196">
        <v>2</v>
      </c>
      <c r="E196">
        <v>45388.7</v>
      </c>
    </row>
    <row r="197" spans="1:8">
      <c r="A197" t="s">
        <v>3613</v>
      </c>
      <c r="B197" t="s">
        <v>84</v>
      </c>
      <c r="C197">
        <v>3</v>
      </c>
      <c r="E197">
        <v>45414.779000000002</v>
      </c>
      <c r="H197">
        <v>0.79400000000000004</v>
      </c>
    </row>
    <row r="198" spans="1:8">
      <c r="A198" t="s">
        <v>3613</v>
      </c>
      <c r="B198" t="s">
        <v>84</v>
      </c>
      <c r="C198">
        <v>4</v>
      </c>
      <c r="E198">
        <v>45556.237000000001</v>
      </c>
      <c r="H198">
        <v>1.1080000000000001</v>
      </c>
    </row>
    <row r="199" spans="1:8">
      <c r="A199" t="s">
        <v>3613</v>
      </c>
      <c r="B199" t="s">
        <v>84</v>
      </c>
      <c r="C199">
        <v>5</v>
      </c>
      <c r="E199">
        <v>45835.525999999998</v>
      </c>
      <c r="H199">
        <v>1.1000000000000001</v>
      </c>
    </row>
    <row r="200" spans="1:8">
      <c r="A200" t="s">
        <v>3614</v>
      </c>
      <c r="B200" t="s">
        <v>1828</v>
      </c>
      <c r="C200">
        <v>2</v>
      </c>
      <c r="E200">
        <v>45425.123</v>
      </c>
      <c r="H200">
        <v>1.286</v>
      </c>
    </row>
    <row r="201" spans="1:8">
      <c r="A201" t="s">
        <v>3614</v>
      </c>
      <c r="B201" t="s">
        <v>1828</v>
      </c>
      <c r="C201">
        <v>1</v>
      </c>
      <c r="E201">
        <v>45457.767</v>
      </c>
      <c r="H201">
        <v>0.104</v>
      </c>
    </row>
    <row r="202" spans="1:8">
      <c r="A202" t="s">
        <v>3614</v>
      </c>
      <c r="B202" t="s">
        <v>1828</v>
      </c>
      <c r="C202">
        <v>3</v>
      </c>
      <c r="E202">
        <v>45634.690999999999</v>
      </c>
      <c r="H202">
        <v>1.1619999999999999</v>
      </c>
    </row>
    <row r="203" spans="1:8">
      <c r="A203" t="s">
        <v>3614</v>
      </c>
      <c r="B203" t="s">
        <v>1828</v>
      </c>
      <c r="C203">
        <v>4</v>
      </c>
      <c r="E203">
        <v>45869.523000000001</v>
      </c>
      <c r="H203">
        <v>1.3340000000000001</v>
      </c>
    </row>
    <row r="204" spans="1:8">
      <c r="A204" t="s">
        <v>3604</v>
      </c>
      <c r="B204" t="s">
        <v>78</v>
      </c>
      <c r="C204">
        <v>2</v>
      </c>
      <c r="E204">
        <v>45709.998</v>
      </c>
      <c r="H204">
        <v>0.89</v>
      </c>
    </row>
    <row r="205" spans="1:8">
      <c r="A205" t="s">
        <v>3604</v>
      </c>
      <c r="B205" t="s">
        <v>78</v>
      </c>
      <c r="C205">
        <v>3</v>
      </c>
      <c r="E205">
        <v>45938.514000000003</v>
      </c>
      <c r="H205">
        <v>1.1100000000000001</v>
      </c>
    </row>
    <row r="206" spans="1:8">
      <c r="A206" t="s">
        <v>3604</v>
      </c>
      <c r="B206" t="s">
        <v>78</v>
      </c>
      <c r="C206">
        <v>4</v>
      </c>
      <c r="E206">
        <v>45969.167999999998</v>
      </c>
      <c r="H206">
        <v>1.135</v>
      </c>
    </row>
    <row r="207" spans="1:8">
      <c r="A207" t="s">
        <v>3610</v>
      </c>
      <c r="B207" t="s">
        <v>133</v>
      </c>
      <c r="C207">
        <v>4</v>
      </c>
      <c r="E207">
        <v>45785.593000000001</v>
      </c>
    </row>
    <row r="208" spans="1:8">
      <c r="A208" t="s">
        <v>3610</v>
      </c>
      <c r="B208" t="s">
        <v>133</v>
      </c>
      <c r="C208">
        <v>3</v>
      </c>
      <c r="E208">
        <v>45792.737000000001</v>
      </c>
    </row>
    <row r="209" spans="1:8">
      <c r="A209" t="s">
        <v>3610</v>
      </c>
      <c r="B209" t="s">
        <v>133</v>
      </c>
      <c r="C209">
        <v>2</v>
      </c>
      <c r="E209">
        <v>45800.131000000001</v>
      </c>
    </row>
    <row r="210" spans="1:8">
      <c r="A210" t="s">
        <v>3610</v>
      </c>
      <c r="B210" t="s">
        <v>133</v>
      </c>
      <c r="C210">
        <v>1</v>
      </c>
      <c r="E210">
        <v>45805.377</v>
      </c>
    </row>
    <row r="211" spans="1:8">
      <c r="A211" t="s">
        <v>3610</v>
      </c>
      <c r="B211" t="s">
        <v>133</v>
      </c>
      <c r="C211">
        <v>0</v>
      </c>
      <c r="E211">
        <v>45807.37</v>
      </c>
      <c r="F211" t="s">
        <v>34</v>
      </c>
    </row>
    <row r="212" spans="1:8">
      <c r="A212" t="s">
        <v>3601</v>
      </c>
      <c r="B212" t="s">
        <v>67</v>
      </c>
      <c r="C212">
        <v>1</v>
      </c>
      <c r="E212">
        <v>45834.720999999998</v>
      </c>
      <c r="H212">
        <v>2.048</v>
      </c>
    </row>
    <row r="213" spans="1:8">
      <c r="A213" t="s">
        <v>3615</v>
      </c>
      <c r="B213" t="s">
        <v>75</v>
      </c>
      <c r="C213">
        <v>1</v>
      </c>
      <c r="E213">
        <v>45974.34</v>
      </c>
      <c r="F213" t="s">
        <v>34</v>
      </c>
    </row>
    <row r="214" spans="1:8">
      <c r="A214" t="s">
        <v>3615</v>
      </c>
      <c r="B214" t="s">
        <v>75</v>
      </c>
      <c r="C214">
        <v>2</v>
      </c>
      <c r="E214">
        <v>46301.841999999997</v>
      </c>
      <c r="H214">
        <v>1.0780000000000001</v>
      </c>
    </row>
    <row r="215" spans="1:8">
      <c r="A215" t="s">
        <v>3615</v>
      </c>
      <c r="B215" t="s">
        <v>75</v>
      </c>
      <c r="C215">
        <v>3</v>
      </c>
      <c r="E215">
        <v>46808.366999999998</v>
      </c>
      <c r="H215">
        <v>1.2749999999999999</v>
      </c>
    </row>
    <row r="216" spans="1:8">
      <c r="B216" t="s">
        <v>2622</v>
      </c>
      <c r="C216">
        <v>4</v>
      </c>
      <c r="E216">
        <v>46135.945</v>
      </c>
    </row>
    <row r="217" spans="1:8">
      <c r="A217" t="s">
        <v>3615</v>
      </c>
      <c r="B217" t="s">
        <v>1861</v>
      </c>
      <c r="C217">
        <v>1</v>
      </c>
      <c r="E217">
        <v>46447.892999999996</v>
      </c>
    </row>
    <row r="218" spans="1:8">
      <c r="A218" t="s">
        <v>3615</v>
      </c>
      <c r="B218" t="s">
        <v>1861</v>
      </c>
      <c r="C218">
        <v>2</v>
      </c>
      <c r="E218">
        <v>46452.404999999999</v>
      </c>
    </row>
    <row r="219" spans="1:8">
      <c r="A219" t="s">
        <v>3615</v>
      </c>
      <c r="B219" t="s">
        <v>1861</v>
      </c>
      <c r="C219">
        <v>3</v>
      </c>
      <c r="E219">
        <v>46453.387999999999</v>
      </c>
    </row>
    <row r="220" spans="1:8">
      <c r="A220" t="s">
        <v>3615</v>
      </c>
      <c r="B220" t="s">
        <v>1861</v>
      </c>
      <c r="C220">
        <v>4</v>
      </c>
      <c r="E220">
        <v>46756.457999999999</v>
      </c>
      <c r="H220">
        <v>1.304</v>
      </c>
    </row>
    <row r="221" spans="1:8">
      <c r="B221" t="s">
        <v>3616</v>
      </c>
      <c r="C221">
        <v>2</v>
      </c>
      <c r="E221">
        <v>46539.300999999999</v>
      </c>
    </row>
    <row r="222" spans="1:8">
      <c r="B222" t="s">
        <v>112</v>
      </c>
      <c r="C222">
        <v>4</v>
      </c>
      <c r="E222">
        <v>46590.034</v>
      </c>
      <c r="H222">
        <v>1.1599999999999999</v>
      </c>
    </row>
    <row r="223" spans="1:8">
      <c r="B223" t="s">
        <v>114</v>
      </c>
      <c r="C223">
        <v>1</v>
      </c>
      <c r="E223">
        <v>46720.023999999998</v>
      </c>
    </row>
    <row r="224" spans="1:8">
      <c r="B224" t="s">
        <v>118</v>
      </c>
      <c r="C224">
        <v>2</v>
      </c>
      <c r="E224">
        <v>46754.733999999997</v>
      </c>
    </row>
    <row r="225" spans="1:8">
      <c r="A225" t="s">
        <v>3617</v>
      </c>
      <c r="B225" t="s">
        <v>83</v>
      </c>
      <c r="C225">
        <v>5</v>
      </c>
      <c r="E225">
        <v>46861</v>
      </c>
      <c r="H225">
        <v>0.93700000000000006</v>
      </c>
    </row>
    <row r="226" spans="1:8">
      <c r="A226" t="s">
        <v>3617</v>
      </c>
      <c r="B226" t="s">
        <v>83</v>
      </c>
      <c r="C226">
        <v>6</v>
      </c>
      <c r="E226">
        <v>47171.707999999999</v>
      </c>
      <c r="H226">
        <v>1.1299999999999999</v>
      </c>
    </row>
    <row r="227" spans="1:8">
      <c r="A227" t="s">
        <v>3617</v>
      </c>
      <c r="B227" t="s">
        <v>83</v>
      </c>
      <c r="C227">
        <v>7</v>
      </c>
      <c r="E227">
        <v>47492.9</v>
      </c>
      <c r="F227" t="s">
        <v>34</v>
      </c>
      <c r="H227">
        <v>1.1399999999999999</v>
      </c>
    </row>
    <row r="228" spans="1:8">
      <c r="A228" t="s">
        <v>3618</v>
      </c>
      <c r="B228" t="s">
        <v>116</v>
      </c>
      <c r="C228">
        <v>2</v>
      </c>
      <c r="E228">
        <v>46874.411999999997</v>
      </c>
    </row>
    <row r="229" spans="1:8">
      <c r="A229" t="s">
        <v>3618</v>
      </c>
      <c r="B229" t="s">
        <v>116</v>
      </c>
      <c r="C229">
        <v>3</v>
      </c>
      <c r="E229">
        <v>46926.303999999996</v>
      </c>
      <c r="H229">
        <v>1.093</v>
      </c>
    </row>
    <row r="230" spans="1:8">
      <c r="A230" t="s">
        <v>3618</v>
      </c>
      <c r="B230" t="s">
        <v>81</v>
      </c>
      <c r="C230">
        <v>1</v>
      </c>
      <c r="E230">
        <v>46894.99</v>
      </c>
    </row>
    <row r="231" spans="1:8">
      <c r="A231" t="s">
        <v>3618</v>
      </c>
      <c r="B231" t="s">
        <v>81</v>
      </c>
      <c r="C231">
        <v>2</v>
      </c>
      <c r="E231">
        <v>47110.180999999997</v>
      </c>
      <c r="H231">
        <v>1.1559999999999999</v>
      </c>
    </row>
    <row r="232" spans="1:8">
      <c r="A232" t="s">
        <v>3618</v>
      </c>
      <c r="B232" t="s">
        <v>81</v>
      </c>
      <c r="C232">
        <v>3</v>
      </c>
      <c r="E232">
        <v>47184.521999999997</v>
      </c>
      <c r="H232">
        <v>1.29</v>
      </c>
    </row>
    <row r="233" spans="1:8">
      <c r="B233" t="s">
        <v>119</v>
      </c>
      <c r="C233">
        <v>3</v>
      </c>
      <c r="E233">
        <v>46955.834000000003</v>
      </c>
      <c r="H233">
        <v>1.66</v>
      </c>
    </row>
    <row r="234" spans="1:8">
      <c r="B234" t="s">
        <v>120</v>
      </c>
      <c r="C234">
        <v>1</v>
      </c>
      <c r="E234">
        <v>47038.709000000003</v>
      </c>
    </row>
    <row r="235" spans="1:8">
      <c r="B235" t="s">
        <v>121</v>
      </c>
      <c r="C235">
        <v>2</v>
      </c>
      <c r="E235">
        <v>47051.658000000003</v>
      </c>
      <c r="H235">
        <v>0.91700000000000004</v>
      </c>
    </row>
    <row r="236" spans="1:8">
      <c r="B236" t="s">
        <v>122</v>
      </c>
      <c r="C236">
        <v>3</v>
      </c>
      <c r="E236">
        <v>47064.572</v>
      </c>
      <c r="H236">
        <v>1.1299999999999999</v>
      </c>
    </row>
    <row r="237" spans="1:8">
      <c r="B237" t="s">
        <v>123</v>
      </c>
      <c r="C237">
        <v>3</v>
      </c>
      <c r="E237">
        <v>47177.061000000002</v>
      </c>
    </row>
    <row r="238" spans="1:8">
      <c r="A238" t="s">
        <v>3614</v>
      </c>
      <c r="B238" t="s">
        <v>834</v>
      </c>
      <c r="C238">
        <v>2</v>
      </c>
      <c r="E238">
        <v>47186.322</v>
      </c>
    </row>
    <row r="239" spans="1:8">
      <c r="A239" t="s">
        <v>3614</v>
      </c>
      <c r="B239" t="s">
        <v>834</v>
      </c>
      <c r="C239">
        <v>3</v>
      </c>
      <c r="E239">
        <v>47311.127</v>
      </c>
      <c r="H239">
        <v>0.86199999999999999</v>
      </c>
    </row>
    <row r="240" spans="1:8">
      <c r="A240" t="s">
        <v>3614</v>
      </c>
      <c r="B240" t="s">
        <v>834</v>
      </c>
      <c r="C240">
        <v>4</v>
      </c>
      <c r="E240">
        <v>47409.328999999998</v>
      </c>
      <c r="H240">
        <v>1.2</v>
      </c>
    </row>
    <row r="241" spans="1:8">
      <c r="A241" t="s">
        <v>3614</v>
      </c>
      <c r="B241" t="s">
        <v>834</v>
      </c>
      <c r="C241">
        <v>5</v>
      </c>
      <c r="E241">
        <v>47659</v>
      </c>
      <c r="H241">
        <v>1.252</v>
      </c>
    </row>
    <row r="242" spans="1:8">
      <c r="A242" t="s">
        <v>3614</v>
      </c>
      <c r="B242" t="s">
        <v>834</v>
      </c>
      <c r="C242">
        <v>6</v>
      </c>
      <c r="E242">
        <v>47704.608999999997</v>
      </c>
      <c r="H242">
        <v>1.3</v>
      </c>
    </row>
    <row r="243" spans="1:8">
      <c r="B243" t="s">
        <v>128</v>
      </c>
      <c r="C243">
        <v>1</v>
      </c>
      <c r="E243">
        <v>47248.084000000003</v>
      </c>
      <c r="H243">
        <v>1.1639999999999999</v>
      </c>
    </row>
    <row r="244" spans="1:8">
      <c r="B244" t="s">
        <v>130</v>
      </c>
      <c r="C244">
        <v>2</v>
      </c>
      <c r="E244">
        <v>47282.133000000002</v>
      </c>
    </row>
    <row r="245" spans="1:8">
      <c r="B245" t="s">
        <v>135</v>
      </c>
      <c r="C245">
        <v>0</v>
      </c>
      <c r="E245">
        <v>47324.332000000002</v>
      </c>
      <c r="H245">
        <v>0</v>
      </c>
    </row>
    <row r="246" spans="1:8">
      <c r="B246" t="s">
        <v>137</v>
      </c>
      <c r="C246">
        <v>1</v>
      </c>
      <c r="E246">
        <v>47402.144</v>
      </c>
      <c r="H246">
        <v>0.88900000000000001</v>
      </c>
    </row>
    <row r="247" spans="1:8">
      <c r="B247" t="s">
        <v>3619</v>
      </c>
      <c r="C247">
        <v>4</v>
      </c>
      <c r="E247">
        <v>47409.182999999997</v>
      </c>
    </row>
    <row r="248" spans="1:8">
      <c r="B248" t="s">
        <v>2696</v>
      </c>
      <c r="C248">
        <v>5</v>
      </c>
      <c r="E248">
        <v>47491.591999999997</v>
      </c>
      <c r="H248">
        <v>1.1120000000000001</v>
      </c>
    </row>
    <row r="249" spans="1:8">
      <c r="B249" t="s">
        <v>3620</v>
      </c>
      <c r="C249">
        <v>7</v>
      </c>
      <c r="E249">
        <v>47561.618999999999</v>
      </c>
    </row>
    <row r="250" spans="1:8">
      <c r="B250" t="s">
        <v>139</v>
      </c>
      <c r="C250">
        <v>2</v>
      </c>
      <c r="E250">
        <v>47587.567000000003</v>
      </c>
      <c r="H250">
        <v>1.1200000000000001</v>
      </c>
    </row>
    <row r="251" spans="1:8">
      <c r="B251" t="s">
        <v>3621</v>
      </c>
      <c r="C251">
        <v>3</v>
      </c>
      <c r="E251">
        <v>47631.648000000001</v>
      </c>
    </row>
    <row r="252" spans="1:8">
      <c r="B252" t="s">
        <v>2697</v>
      </c>
      <c r="C252">
        <v>4</v>
      </c>
      <c r="E252">
        <v>47710.85</v>
      </c>
      <c r="H252">
        <v>1.056</v>
      </c>
    </row>
    <row r="253" spans="1:8">
      <c r="B253" t="s">
        <v>142</v>
      </c>
      <c r="C253">
        <v>1</v>
      </c>
      <c r="E253">
        <v>47713.85</v>
      </c>
      <c r="F253" t="s">
        <v>34</v>
      </c>
    </row>
    <row r="254" spans="1:8">
      <c r="A254" t="s">
        <v>3595</v>
      </c>
      <c r="B254" t="s">
        <v>87</v>
      </c>
      <c r="C254">
        <v>1</v>
      </c>
      <c r="E254">
        <v>47779.362000000001</v>
      </c>
      <c r="H254">
        <v>7.5999999999999998E-2</v>
      </c>
    </row>
    <row r="255" spans="1:8">
      <c r="A255" t="s">
        <v>3595</v>
      </c>
      <c r="B255" t="s">
        <v>87</v>
      </c>
      <c r="C255">
        <v>2</v>
      </c>
      <c r="E255">
        <v>48085.180999999997</v>
      </c>
      <c r="H255">
        <v>1.044</v>
      </c>
    </row>
    <row r="256" spans="1:8">
      <c r="A256" t="s">
        <v>3595</v>
      </c>
      <c r="B256" t="s">
        <v>87</v>
      </c>
      <c r="C256">
        <v>3</v>
      </c>
      <c r="E256">
        <v>48205.891000000003</v>
      </c>
      <c r="H256">
        <v>1.37</v>
      </c>
    </row>
    <row r="257" spans="1:8">
      <c r="A257" t="s">
        <v>3595</v>
      </c>
      <c r="B257" t="s">
        <v>1871</v>
      </c>
      <c r="C257">
        <v>2</v>
      </c>
      <c r="E257">
        <v>47827.190999999999</v>
      </c>
      <c r="H257">
        <v>1.0900000000000001</v>
      </c>
    </row>
    <row r="258" spans="1:8">
      <c r="A258" t="s">
        <v>3595</v>
      </c>
      <c r="B258" t="s">
        <v>1871</v>
      </c>
      <c r="C258">
        <v>1</v>
      </c>
      <c r="E258">
        <v>48022.161999999997</v>
      </c>
      <c r="H258">
        <v>0.28999999999999998</v>
      </c>
    </row>
    <row r="259" spans="1:8">
      <c r="A259" t="s">
        <v>3595</v>
      </c>
      <c r="B259" t="s">
        <v>1871</v>
      </c>
      <c r="C259">
        <v>3</v>
      </c>
      <c r="E259">
        <v>48028.182999999997</v>
      </c>
      <c r="H259">
        <v>1.2829999999999999</v>
      </c>
    </row>
    <row r="260" spans="1:8">
      <c r="A260" t="s">
        <v>3595</v>
      </c>
      <c r="B260" t="s">
        <v>1871</v>
      </c>
      <c r="C260">
        <v>4</v>
      </c>
      <c r="E260">
        <v>48192.008999999998</v>
      </c>
      <c r="H260">
        <v>1.2929999999999999</v>
      </c>
    </row>
    <row r="261" spans="1:8">
      <c r="A261" t="s">
        <v>3595</v>
      </c>
      <c r="B261" t="s">
        <v>1871</v>
      </c>
      <c r="C261">
        <v>5</v>
      </c>
      <c r="E261">
        <v>48547.38</v>
      </c>
      <c r="H261">
        <v>1.37</v>
      </c>
    </row>
    <row r="262" spans="1:8">
      <c r="B262" t="s">
        <v>144</v>
      </c>
      <c r="C262">
        <v>3</v>
      </c>
      <c r="E262">
        <v>47848.347999999998</v>
      </c>
    </row>
    <row r="263" spans="1:8">
      <c r="A263" t="s">
        <v>3617</v>
      </c>
      <c r="B263" t="s">
        <v>95</v>
      </c>
      <c r="C263">
        <v>4</v>
      </c>
      <c r="E263">
        <v>47876.756999999998</v>
      </c>
    </row>
    <row r="264" spans="1:8">
      <c r="A264" t="s">
        <v>3617</v>
      </c>
      <c r="B264" t="s">
        <v>95</v>
      </c>
      <c r="C264">
        <v>5</v>
      </c>
      <c r="E264">
        <v>48189.154000000002</v>
      </c>
      <c r="H264">
        <v>1.206</v>
      </c>
    </row>
    <row r="265" spans="1:8">
      <c r="A265" t="s">
        <v>3617</v>
      </c>
      <c r="B265" t="s">
        <v>95</v>
      </c>
      <c r="C265">
        <v>6</v>
      </c>
      <c r="E265">
        <v>48400.209000000003</v>
      </c>
      <c r="H265">
        <v>1.1950000000000001</v>
      </c>
    </row>
    <row r="266" spans="1:8">
      <c r="B266" t="s">
        <v>145</v>
      </c>
      <c r="C266">
        <v>2</v>
      </c>
      <c r="E266">
        <v>48038.89</v>
      </c>
      <c r="F266" t="s">
        <v>34</v>
      </c>
    </row>
    <row r="267" spans="1:8">
      <c r="B267" t="s">
        <v>146</v>
      </c>
      <c r="C267">
        <v>6</v>
      </c>
      <c r="E267">
        <v>48120.46</v>
      </c>
      <c r="H267">
        <v>1.2</v>
      </c>
    </row>
    <row r="268" spans="1:8">
      <c r="A268" t="s">
        <v>3622</v>
      </c>
      <c r="B268" t="s">
        <v>879</v>
      </c>
      <c r="C268">
        <v>2</v>
      </c>
      <c r="E268">
        <v>48238.207999999999</v>
      </c>
      <c r="H268">
        <v>0.75800000000000001</v>
      </c>
    </row>
    <row r="269" spans="1:8">
      <c r="A269" t="s">
        <v>3622</v>
      </c>
      <c r="B269" t="s">
        <v>879</v>
      </c>
      <c r="C269">
        <v>3</v>
      </c>
      <c r="E269">
        <v>48398.946000000004</v>
      </c>
      <c r="H269">
        <v>1.1739999999999999</v>
      </c>
    </row>
    <row r="270" spans="1:8">
      <c r="A270" t="s">
        <v>3623</v>
      </c>
      <c r="B270" t="s">
        <v>1810</v>
      </c>
      <c r="C270">
        <v>3</v>
      </c>
      <c r="E270">
        <v>48367.864000000001</v>
      </c>
    </row>
    <row r="271" spans="1:8">
      <c r="A271" t="s">
        <v>3595</v>
      </c>
      <c r="B271" t="s">
        <v>1866</v>
      </c>
      <c r="C271">
        <v>2</v>
      </c>
      <c r="E271">
        <v>48408.686999999998</v>
      </c>
      <c r="H271">
        <v>1.44</v>
      </c>
    </row>
    <row r="272" spans="1:8">
      <c r="A272" t="s">
        <v>3595</v>
      </c>
      <c r="B272" t="s">
        <v>1866</v>
      </c>
      <c r="C272">
        <v>1</v>
      </c>
      <c r="E272">
        <v>48410.879999999997</v>
      </c>
      <c r="F272" t="s">
        <v>34</v>
      </c>
    </row>
    <row r="273" spans="1:8">
      <c r="A273" t="s">
        <v>3595</v>
      </c>
      <c r="B273" t="s">
        <v>1866</v>
      </c>
      <c r="C273">
        <v>3</v>
      </c>
      <c r="E273">
        <v>48532.118999999999</v>
      </c>
      <c r="H273">
        <v>1.496</v>
      </c>
    </row>
    <row r="274" spans="1:8">
      <c r="A274" t="s">
        <v>3595</v>
      </c>
      <c r="B274" t="s">
        <v>1866</v>
      </c>
      <c r="C274">
        <v>4</v>
      </c>
      <c r="E274">
        <v>48870.470999999998</v>
      </c>
      <c r="H274">
        <v>1.454</v>
      </c>
    </row>
    <row r="275" spans="1:8">
      <c r="B275" t="s">
        <v>3624</v>
      </c>
      <c r="C275">
        <v>4</v>
      </c>
      <c r="E275">
        <v>48431.459000000003</v>
      </c>
    </row>
    <row r="276" spans="1:8">
      <c r="A276" t="s">
        <v>3613</v>
      </c>
      <c r="B276" t="s">
        <v>931</v>
      </c>
      <c r="C276">
        <v>4</v>
      </c>
      <c r="E276">
        <v>48622.076000000001</v>
      </c>
      <c r="H276">
        <v>0.92600000000000005</v>
      </c>
    </row>
    <row r="277" spans="1:8">
      <c r="A277" t="s">
        <v>3613</v>
      </c>
      <c r="B277" t="s">
        <v>931</v>
      </c>
      <c r="C277">
        <v>5</v>
      </c>
      <c r="E277">
        <v>48818.951999999997</v>
      </c>
      <c r="H277">
        <v>0.97199999999999998</v>
      </c>
    </row>
    <row r="278" spans="1:8">
      <c r="A278" t="s">
        <v>3613</v>
      </c>
      <c r="B278" t="s">
        <v>931</v>
      </c>
      <c r="C278">
        <v>6</v>
      </c>
      <c r="E278">
        <v>49061.760000000002</v>
      </c>
      <c r="H278">
        <v>1.1080000000000001</v>
      </c>
    </row>
    <row r="279" spans="1:8">
      <c r="A279" t="s">
        <v>3623</v>
      </c>
      <c r="B279" t="s">
        <v>1817</v>
      </c>
      <c r="C279">
        <v>2</v>
      </c>
      <c r="E279">
        <v>48742.273999999998</v>
      </c>
    </row>
    <row r="280" spans="1:8">
      <c r="B280" t="s">
        <v>147</v>
      </c>
      <c r="C280">
        <v>1</v>
      </c>
      <c r="E280">
        <v>48775.269</v>
      </c>
    </row>
    <row r="281" spans="1:8">
      <c r="B281" t="s">
        <v>3625</v>
      </c>
      <c r="C281">
        <v>7</v>
      </c>
      <c r="E281">
        <v>48791.343999999997</v>
      </c>
    </row>
    <row r="282" spans="1:8">
      <c r="A282" t="s">
        <v>3626</v>
      </c>
      <c r="B282" t="s">
        <v>1841</v>
      </c>
      <c r="C282">
        <v>2</v>
      </c>
      <c r="E282">
        <v>48875.813000000002</v>
      </c>
    </row>
    <row r="283" spans="1:8">
      <c r="A283" t="s">
        <v>3626</v>
      </c>
      <c r="B283" t="s">
        <v>1841</v>
      </c>
      <c r="C283">
        <v>3</v>
      </c>
      <c r="E283">
        <v>48997.228000000003</v>
      </c>
      <c r="H283">
        <v>0.6</v>
      </c>
    </row>
    <row r="284" spans="1:8">
      <c r="A284" t="s">
        <v>3626</v>
      </c>
      <c r="B284" t="s">
        <v>1841</v>
      </c>
      <c r="C284">
        <v>4</v>
      </c>
      <c r="E284">
        <v>49146.754000000001</v>
      </c>
      <c r="H284">
        <v>1.1639999999999999</v>
      </c>
    </row>
    <row r="285" spans="1:8">
      <c r="A285" t="s">
        <v>3626</v>
      </c>
      <c r="B285" t="s">
        <v>1841</v>
      </c>
      <c r="C285">
        <v>5</v>
      </c>
      <c r="E285">
        <v>49302.074999999997</v>
      </c>
      <c r="H285">
        <v>1.25</v>
      </c>
    </row>
    <row r="286" spans="1:8">
      <c r="A286" t="s">
        <v>3626</v>
      </c>
      <c r="B286" t="s">
        <v>1841</v>
      </c>
      <c r="C286">
        <v>6</v>
      </c>
      <c r="E286">
        <v>49408.53</v>
      </c>
      <c r="H286">
        <v>1.1499999999999999</v>
      </c>
    </row>
    <row r="287" spans="1:8">
      <c r="A287" t="s">
        <v>3617</v>
      </c>
      <c r="B287" t="s">
        <v>74</v>
      </c>
      <c r="C287">
        <v>5</v>
      </c>
      <c r="E287">
        <v>48922.188000000002</v>
      </c>
      <c r="H287">
        <v>0.97</v>
      </c>
    </row>
    <row r="288" spans="1:8">
      <c r="B288" t="s">
        <v>148</v>
      </c>
      <c r="C288">
        <v>1</v>
      </c>
      <c r="E288">
        <v>48955.732000000004</v>
      </c>
      <c r="H288">
        <v>0.77</v>
      </c>
    </row>
    <row r="289" spans="1:8">
      <c r="B289" t="s">
        <v>3627</v>
      </c>
      <c r="C289">
        <v>2</v>
      </c>
      <c r="E289">
        <v>49078.669000000002</v>
      </c>
    </row>
    <row r="290" spans="1:8">
      <c r="B290" t="s">
        <v>149</v>
      </c>
      <c r="C290">
        <v>1</v>
      </c>
      <c r="E290">
        <v>49169.267999999996</v>
      </c>
    </row>
    <row r="291" spans="1:8">
      <c r="A291" t="s">
        <v>3626</v>
      </c>
      <c r="B291" t="s">
        <v>3628</v>
      </c>
      <c r="C291">
        <v>1</v>
      </c>
      <c r="E291">
        <v>49189.701000000001</v>
      </c>
      <c r="H291">
        <v>0.31</v>
      </c>
    </row>
    <row r="292" spans="1:8">
      <c r="A292" t="s">
        <v>3626</v>
      </c>
      <c r="B292" t="s">
        <v>3628</v>
      </c>
      <c r="C292">
        <v>2</v>
      </c>
      <c r="E292">
        <v>49346.196000000004</v>
      </c>
      <c r="H292">
        <v>1.2</v>
      </c>
    </row>
    <row r="293" spans="1:8">
      <c r="A293" t="s">
        <v>3626</v>
      </c>
      <c r="B293" t="s">
        <v>3628</v>
      </c>
      <c r="C293">
        <v>3</v>
      </c>
      <c r="E293">
        <v>49468.023000000001</v>
      </c>
      <c r="H293">
        <v>1.216</v>
      </c>
    </row>
    <row r="294" spans="1:8">
      <c r="A294" t="s">
        <v>3626</v>
      </c>
      <c r="B294" t="s">
        <v>3628</v>
      </c>
      <c r="C294">
        <v>4</v>
      </c>
      <c r="E294">
        <v>49590.828000000001</v>
      </c>
      <c r="H294">
        <v>1.2450000000000001</v>
      </c>
    </row>
    <row r="295" spans="1:8">
      <c r="A295" t="s">
        <v>3626</v>
      </c>
      <c r="B295" t="s">
        <v>3628</v>
      </c>
      <c r="C295">
        <v>5</v>
      </c>
      <c r="E295">
        <v>49650.658000000003</v>
      </c>
      <c r="H295">
        <v>1.3520000000000001</v>
      </c>
    </row>
    <row r="296" spans="1:8">
      <c r="B296" t="s">
        <v>150</v>
      </c>
      <c r="C296">
        <v>3</v>
      </c>
      <c r="E296">
        <v>49259.406000000003</v>
      </c>
      <c r="H296">
        <v>1.3480000000000001</v>
      </c>
    </row>
    <row r="297" spans="1:8">
      <c r="A297" t="s">
        <v>3608</v>
      </c>
      <c r="B297" t="s">
        <v>1941</v>
      </c>
      <c r="C297">
        <v>5</v>
      </c>
      <c r="E297">
        <v>49350.588000000003</v>
      </c>
      <c r="H297">
        <v>0.91400000000000003</v>
      </c>
    </row>
    <row r="298" spans="1:8">
      <c r="A298" t="s">
        <v>3608</v>
      </c>
      <c r="B298" t="s">
        <v>1941</v>
      </c>
      <c r="C298">
        <v>6</v>
      </c>
      <c r="E298">
        <v>49400.368000000002</v>
      </c>
      <c r="H298">
        <v>1.1080000000000001</v>
      </c>
    </row>
    <row r="299" spans="1:8">
      <c r="A299" t="s">
        <v>3608</v>
      </c>
      <c r="B299" t="s">
        <v>1941</v>
      </c>
      <c r="C299">
        <v>7</v>
      </c>
      <c r="E299">
        <v>49565.135000000002</v>
      </c>
      <c r="H299">
        <v>1.1220000000000001</v>
      </c>
    </row>
    <row r="300" spans="1:8">
      <c r="B300" t="s">
        <v>151</v>
      </c>
      <c r="C300">
        <v>4</v>
      </c>
      <c r="E300">
        <v>49369.474999999999</v>
      </c>
      <c r="H300">
        <v>1.4750000000000001</v>
      </c>
    </row>
    <row r="301" spans="1:8">
      <c r="B301" t="s">
        <v>3629</v>
      </c>
      <c r="C301">
        <v>1</v>
      </c>
      <c r="E301">
        <v>49390.978999999999</v>
      </c>
    </row>
    <row r="302" spans="1:8">
      <c r="A302" t="s">
        <v>3630</v>
      </c>
      <c r="B302" t="s">
        <v>1785</v>
      </c>
      <c r="C302">
        <v>1</v>
      </c>
      <c r="E302">
        <v>49484.067999999999</v>
      </c>
      <c r="H302">
        <v>2.3780000000000001</v>
      </c>
    </row>
    <row r="303" spans="1:8">
      <c r="A303" t="s">
        <v>3630</v>
      </c>
      <c r="B303" t="s">
        <v>1785</v>
      </c>
      <c r="C303">
        <v>2</v>
      </c>
      <c r="E303">
        <v>49711.894</v>
      </c>
      <c r="H303">
        <v>2.16</v>
      </c>
    </row>
    <row r="304" spans="1:8">
      <c r="A304" t="s">
        <v>3630</v>
      </c>
      <c r="B304" t="s">
        <v>1785</v>
      </c>
      <c r="C304">
        <v>3</v>
      </c>
      <c r="E304">
        <v>51209.661999999997</v>
      </c>
      <c r="H304">
        <v>1.66</v>
      </c>
    </row>
    <row r="305" spans="1:8">
      <c r="B305" t="s">
        <v>152</v>
      </c>
      <c r="C305">
        <v>5</v>
      </c>
      <c r="E305">
        <v>49595.606</v>
      </c>
      <c r="H305">
        <v>1.008</v>
      </c>
    </row>
    <row r="306" spans="1:8">
      <c r="A306" t="s">
        <v>3631</v>
      </c>
      <c r="B306" t="s">
        <v>185</v>
      </c>
      <c r="C306">
        <v>1</v>
      </c>
      <c r="E306">
        <v>49608.110999999997</v>
      </c>
      <c r="H306">
        <v>2.99</v>
      </c>
    </row>
    <row r="307" spans="1:8">
      <c r="A307" t="s">
        <v>3631</v>
      </c>
      <c r="B307" t="s">
        <v>185</v>
      </c>
      <c r="C307">
        <v>2</v>
      </c>
      <c r="E307">
        <v>49852.184000000001</v>
      </c>
    </row>
    <row r="308" spans="1:8">
      <c r="A308" t="s">
        <v>3631</v>
      </c>
      <c r="B308" t="s">
        <v>185</v>
      </c>
      <c r="C308">
        <v>3</v>
      </c>
      <c r="E308">
        <v>50155.527000000002</v>
      </c>
    </row>
    <row r="309" spans="1:8">
      <c r="A309" t="s">
        <v>3631</v>
      </c>
      <c r="B309" t="s">
        <v>185</v>
      </c>
      <c r="C309">
        <v>4</v>
      </c>
      <c r="E309">
        <v>50790.260999999999</v>
      </c>
      <c r="H309">
        <v>1.613</v>
      </c>
    </row>
    <row r="310" spans="1:8">
      <c r="A310" t="s">
        <v>3631</v>
      </c>
      <c r="B310" t="s">
        <v>185</v>
      </c>
      <c r="C310">
        <v>5</v>
      </c>
      <c r="E310">
        <v>51275.690999999999</v>
      </c>
      <c r="H310">
        <v>1.611</v>
      </c>
    </row>
    <row r="311" spans="1:8">
      <c r="A311" t="s">
        <v>3615</v>
      </c>
      <c r="B311" t="s">
        <v>910</v>
      </c>
      <c r="C311">
        <v>3</v>
      </c>
      <c r="E311">
        <v>49789.745999999999</v>
      </c>
      <c r="H311">
        <v>1.0609999999999999</v>
      </c>
    </row>
    <row r="312" spans="1:8">
      <c r="A312" t="s">
        <v>3615</v>
      </c>
      <c r="B312" t="s">
        <v>910</v>
      </c>
      <c r="C312">
        <v>2</v>
      </c>
      <c r="E312">
        <v>49801.328999999998</v>
      </c>
    </row>
    <row r="313" spans="1:8">
      <c r="A313" t="s">
        <v>3615</v>
      </c>
      <c r="B313" t="s">
        <v>910</v>
      </c>
      <c r="C313">
        <v>4</v>
      </c>
      <c r="E313">
        <v>50134.158000000003</v>
      </c>
      <c r="H313">
        <v>1.21</v>
      </c>
    </row>
    <row r="314" spans="1:8">
      <c r="B314" t="s">
        <v>3632</v>
      </c>
      <c r="C314">
        <v>7</v>
      </c>
      <c r="E314">
        <v>49813.338000000003</v>
      </c>
    </row>
    <row r="315" spans="1:8">
      <c r="A315" t="s">
        <v>3626</v>
      </c>
      <c r="B315" t="s">
        <v>97</v>
      </c>
      <c r="C315">
        <v>4</v>
      </c>
      <c r="E315">
        <v>49863.423999999999</v>
      </c>
      <c r="H315">
        <v>1.054</v>
      </c>
    </row>
    <row r="316" spans="1:8">
      <c r="A316" t="s">
        <v>3626</v>
      </c>
      <c r="B316" t="s">
        <v>97</v>
      </c>
      <c r="C316">
        <v>5</v>
      </c>
      <c r="E316">
        <v>50631.392</v>
      </c>
      <c r="H316">
        <v>1.123</v>
      </c>
    </row>
    <row r="317" spans="1:8">
      <c r="B317" t="s">
        <v>153</v>
      </c>
      <c r="C317">
        <v>2</v>
      </c>
      <c r="E317">
        <v>49880.46</v>
      </c>
      <c r="F317" t="s">
        <v>34</v>
      </c>
    </row>
    <row r="318" spans="1:8">
      <c r="A318" t="s">
        <v>3595</v>
      </c>
      <c r="B318" t="s">
        <v>1791</v>
      </c>
      <c r="C318">
        <v>3</v>
      </c>
      <c r="E318">
        <v>49999.574999999997</v>
      </c>
      <c r="H318">
        <v>1.72</v>
      </c>
    </row>
    <row r="319" spans="1:8">
      <c r="A319" t="s">
        <v>3595</v>
      </c>
      <c r="B319" t="s">
        <v>1791</v>
      </c>
      <c r="C319">
        <v>1</v>
      </c>
      <c r="E319">
        <v>50113.099000000002</v>
      </c>
      <c r="H319">
        <v>2.52</v>
      </c>
    </row>
    <row r="320" spans="1:8">
      <c r="A320" t="s">
        <v>3595</v>
      </c>
      <c r="B320" t="s">
        <v>1791</v>
      </c>
      <c r="C320">
        <v>2</v>
      </c>
      <c r="E320">
        <v>51049.599999999999</v>
      </c>
      <c r="F320" t="s">
        <v>34</v>
      </c>
      <c r="H320">
        <v>1.61</v>
      </c>
    </row>
    <row r="321" spans="1:8">
      <c r="A321" t="s">
        <v>3617</v>
      </c>
      <c r="B321" t="s">
        <v>1982</v>
      </c>
      <c r="C321">
        <v>7</v>
      </c>
      <c r="E321">
        <v>50276.822</v>
      </c>
      <c r="H321">
        <v>1.046</v>
      </c>
    </row>
    <row r="322" spans="1:8">
      <c r="A322" t="s">
        <v>3617</v>
      </c>
      <c r="B322" t="s">
        <v>1982</v>
      </c>
      <c r="C322">
        <v>6</v>
      </c>
      <c r="E322">
        <v>50595.883000000002</v>
      </c>
      <c r="H322">
        <v>0.96799999999999997</v>
      </c>
    </row>
    <row r="323" spans="1:8">
      <c r="A323" t="s">
        <v>3633</v>
      </c>
      <c r="B323" t="s">
        <v>1865</v>
      </c>
      <c r="C323">
        <v>4</v>
      </c>
      <c r="E323">
        <v>50323.387000000002</v>
      </c>
    </row>
    <row r="324" spans="1:8">
      <c r="A324" t="s">
        <v>3633</v>
      </c>
      <c r="B324" t="s">
        <v>1865</v>
      </c>
      <c r="C324">
        <v>5</v>
      </c>
      <c r="E324">
        <v>50364.243000000002</v>
      </c>
    </row>
    <row r="325" spans="1:8">
      <c r="A325" t="s">
        <v>3633</v>
      </c>
      <c r="B325" t="s">
        <v>1865</v>
      </c>
      <c r="C325">
        <v>3</v>
      </c>
      <c r="E325">
        <v>50371.74</v>
      </c>
      <c r="F325" t="s">
        <v>34</v>
      </c>
    </row>
    <row r="326" spans="1:8">
      <c r="B326" t="s">
        <v>154</v>
      </c>
      <c r="C326">
        <v>2</v>
      </c>
      <c r="E326">
        <v>50482.360999999997</v>
      </c>
      <c r="H326">
        <v>1.07</v>
      </c>
    </row>
    <row r="327" spans="1:8">
      <c r="B327" t="s">
        <v>155</v>
      </c>
      <c r="C327">
        <v>4</v>
      </c>
      <c r="E327">
        <v>50625.116000000002</v>
      </c>
      <c r="H327">
        <v>1.23</v>
      </c>
    </row>
    <row r="328" spans="1:8">
      <c r="B328" t="s">
        <v>158</v>
      </c>
      <c r="C328">
        <v>3</v>
      </c>
      <c r="E328">
        <v>50669.966999999997</v>
      </c>
    </row>
    <row r="329" spans="1:8">
      <c r="B329" t="s">
        <v>160</v>
      </c>
      <c r="C329">
        <v>2</v>
      </c>
      <c r="E329">
        <v>50769.72</v>
      </c>
      <c r="F329" t="s">
        <v>34</v>
      </c>
    </row>
    <row r="330" spans="1:8">
      <c r="B330" t="s">
        <v>161</v>
      </c>
      <c r="C330">
        <v>4</v>
      </c>
      <c r="E330">
        <v>50770.12</v>
      </c>
      <c r="F330" t="s">
        <v>34</v>
      </c>
    </row>
    <row r="331" spans="1:8">
      <c r="B331" t="s">
        <v>162</v>
      </c>
      <c r="C331">
        <v>5</v>
      </c>
      <c r="E331">
        <v>50801.555999999997</v>
      </c>
      <c r="H331">
        <v>1.083</v>
      </c>
    </row>
    <row r="332" spans="1:8">
      <c r="B332" t="s">
        <v>164</v>
      </c>
      <c r="C332">
        <v>2</v>
      </c>
      <c r="E332">
        <v>50925.502</v>
      </c>
    </row>
    <row r="333" spans="1:8">
      <c r="A333" t="s">
        <v>3608</v>
      </c>
      <c r="B333" t="s">
        <v>2006</v>
      </c>
      <c r="C333">
        <v>4</v>
      </c>
      <c r="E333">
        <v>50953.745999999999</v>
      </c>
      <c r="H333">
        <v>0.93700000000000006</v>
      </c>
    </row>
    <row r="334" spans="1:8">
      <c r="A334" t="s">
        <v>3608</v>
      </c>
      <c r="B334" t="s">
        <v>2006</v>
      </c>
      <c r="C334">
        <v>5</v>
      </c>
      <c r="E334">
        <v>51753.383999999998</v>
      </c>
      <c r="H334">
        <v>1.0589999999999999</v>
      </c>
    </row>
    <row r="335" spans="1:8">
      <c r="B335" t="s">
        <v>165</v>
      </c>
      <c r="C335">
        <v>1</v>
      </c>
      <c r="E335">
        <v>51070.34</v>
      </c>
      <c r="F335" t="s">
        <v>34</v>
      </c>
    </row>
    <row r="336" spans="1:8">
      <c r="B336" t="s">
        <v>3634</v>
      </c>
      <c r="C336">
        <v>6</v>
      </c>
      <c r="E336">
        <v>51117.207999999999</v>
      </c>
    </row>
    <row r="337" spans="2:8">
      <c r="B337" t="s">
        <v>166</v>
      </c>
      <c r="C337">
        <v>1</v>
      </c>
      <c r="E337">
        <v>51165.07</v>
      </c>
      <c r="F337" t="s">
        <v>34</v>
      </c>
    </row>
    <row r="338" spans="2:8">
      <c r="B338" t="s">
        <v>167</v>
      </c>
      <c r="C338">
        <v>4</v>
      </c>
      <c r="E338">
        <v>51234.093000000001</v>
      </c>
      <c r="H338">
        <v>1.26</v>
      </c>
    </row>
    <row r="339" spans="2:8">
      <c r="B339" t="s">
        <v>3635</v>
      </c>
      <c r="C339">
        <v>3</v>
      </c>
      <c r="E339">
        <v>51324.459000000003</v>
      </c>
    </row>
    <row r="340" spans="2:8">
      <c r="B340" t="s">
        <v>168</v>
      </c>
      <c r="C340">
        <v>2</v>
      </c>
      <c r="E340">
        <v>51404.707999999999</v>
      </c>
      <c r="H340">
        <v>1.675</v>
      </c>
    </row>
    <row r="341" spans="2:8">
      <c r="B341" t="s">
        <v>3636</v>
      </c>
      <c r="C341">
        <v>3</v>
      </c>
      <c r="E341">
        <v>51568.561000000002</v>
      </c>
    </row>
    <row r="342" spans="2:8">
      <c r="B342" t="s">
        <v>169</v>
      </c>
      <c r="C342">
        <v>4</v>
      </c>
      <c r="E342">
        <v>51585.313000000002</v>
      </c>
      <c r="H342">
        <v>1.04</v>
      </c>
    </row>
    <row r="343" spans="2:8">
      <c r="B343" t="s">
        <v>3637</v>
      </c>
      <c r="C343">
        <v>5</v>
      </c>
      <c r="E343">
        <v>51622.57</v>
      </c>
    </row>
    <row r="344" spans="2:8">
      <c r="B344" t="s">
        <v>170</v>
      </c>
      <c r="C344">
        <v>2</v>
      </c>
      <c r="E344">
        <v>51675.201999999997</v>
      </c>
      <c r="H344">
        <v>1.1459999999999999</v>
      </c>
    </row>
    <row r="345" spans="2:8">
      <c r="B345" t="s">
        <v>171</v>
      </c>
      <c r="C345">
        <v>3</v>
      </c>
      <c r="E345">
        <v>51808.875</v>
      </c>
      <c r="H345">
        <v>0.88</v>
      </c>
    </row>
    <row r="346" spans="2:8">
      <c r="B346" t="s">
        <v>172</v>
      </c>
      <c r="C346">
        <v>6</v>
      </c>
      <c r="E346">
        <v>51856.214999999997</v>
      </c>
    </row>
    <row r="347" spans="2:8">
      <c r="B347" t="s">
        <v>173</v>
      </c>
      <c r="C347">
        <v>4</v>
      </c>
      <c r="E347">
        <v>51858.766000000003</v>
      </c>
      <c r="H347">
        <v>1.258</v>
      </c>
    </row>
    <row r="348" spans="2:8">
      <c r="B348" t="s">
        <v>176</v>
      </c>
      <c r="C348">
        <v>1</v>
      </c>
      <c r="E348">
        <v>51875.934000000001</v>
      </c>
      <c r="H348">
        <v>0.87</v>
      </c>
    </row>
    <row r="349" spans="2:8">
      <c r="B349" t="s">
        <v>177</v>
      </c>
      <c r="C349">
        <v>3</v>
      </c>
      <c r="E349">
        <v>51884.451000000001</v>
      </c>
      <c r="H349">
        <v>1.1299999999999999</v>
      </c>
    </row>
    <row r="350" spans="2:8">
      <c r="B350" t="s">
        <v>178</v>
      </c>
      <c r="C350">
        <v>2</v>
      </c>
      <c r="E350">
        <v>51891.313999999998</v>
      </c>
      <c r="H350">
        <v>0.56000000000000005</v>
      </c>
    </row>
    <row r="351" spans="2:8">
      <c r="B351" t="s">
        <v>3638</v>
      </c>
      <c r="C351">
        <v>3</v>
      </c>
      <c r="E351">
        <v>52043.377999999997</v>
      </c>
    </row>
    <row r="352" spans="2:8">
      <c r="B352" t="s">
        <v>179</v>
      </c>
      <c r="C352">
        <v>4</v>
      </c>
      <c r="E352">
        <v>52085.241000000002</v>
      </c>
      <c r="H352">
        <v>1.266</v>
      </c>
    </row>
    <row r="353" spans="1:8">
      <c r="B353" t="s">
        <v>186</v>
      </c>
      <c r="C353">
        <v>2</v>
      </c>
      <c r="E353">
        <v>52087.998</v>
      </c>
    </row>
    <row r="354" spans="1:8">
      <c r="B354" t="s">
        <v>187</v>
      </c>
      <c r="C354">
        <v>3</v>
      </c>
      <c r="E354">
        <v>52135.498</v>
      </c>
      <c r="H354">
        <v>0.91</v>
      </c>
    </row>
    <row r="355" spans="1:8">
      <c r="B355" t="s">
        <v>188</v>
      </c>
      <c r="C355">
        <v>3</v>
      </c>
      <c r="E355">
        <v>52181.917999999998</v>
      </c>
      <c r="H355">
        <v>1.34</v>
      </c>
    </row>
    <row r="356" spans="1:8">
      <c r="B356" t="s">
        <v>3639</v>
      </c>
      <c r="C356">
        <v>2</v>
      </c>
      <c r="E356">
        <v>52288.942000000003</v>
      </c>
    </row>
    <row r="357" spans="1:8">
      <c r="B357" t="s">
        <v>190</v>
      </c>
      <c r="C357">
        <v>4</v>
      </c>
      <c r="E357">
        <v>52404.760999999999</v>
      </c>
      <c r="H357">
        <v>1.1599999999999999</v>
      </c>
    </row>
    <row r="358" spans="1:8">
      <c r="B358" t="s">
        <v>191</v>
      </c>
      <c r="C358">
        <v>2</v>
      </c>
      <c r="E358">
        <v>52441.17</v>
      </c>
      <c r="F358" t="s">
        <v>34</v>
      </c>
    </row>
    <row r="359" spans="1:8">
      <c r="B359" t="s">
        <v>192</v>
      </c>
      <c r="C359">
        <v>5</v>
      </c>
      <c r="E359">
        <v>52441.33</v>
      </c>
      <c r="F359" t="s">
        <v>34</v>
      </c>
    </row>
    <row r="360" spans="1:8">
      <c r="B360" t="s">
        <v>193</v>
      </c>
      <c r="C360">
        <v>2</v>
      </c>
      <c r="E360">
        <v>52443.51</v>
      </c>
      <c r="H360">
        <v>1.1200000000000001</v>
      </c>
    </row>
    <row r="361" spans="1:8">
      <c r="B361" t="s">
        <v>195</v>
      </c>
      <c r="C361">
        <v>5</v>
      </c>
      <c r="E361">
        <v>52465.385000000002</v>
      </c>
      <c r="H361">
        <v>1.0880000000000001</v>
      </c>
    </row>
    <row r="362" spans="1:8">
      <c r="B362" t="s">
        <v>3640</v>
      </c>
      <c r="C362">
        <v>3</v>
      </c>
      <c r="E362">
        <v>52473.716999999997</v>
      </c>
    </row>
    <row r="363" spans="1:8">
      <c r="A363" t="s">
        <v>3631</v>
      </c>
      <c r="B363" t="s">
        <v>194</v>
      </c>
      <c r="C363">
        <v>4</v>
      </c>
      <c r="E363">
        <v>52477.599999999999</v>
      </c>
      <c r="F363" t="s">
        <v>34</v>
      </c>
    </row>
    <row r="364" spans="1:8">
      <c r="B364" t="s">
        <v>196</v>
      </c>
      <c r="C364">
        <v>4</v>
      </c>
      <c r="E364">
        <v>52579.336000000003</v>
      </c>
      <c r="H364">
        <v>1.0549999999999999</v>
      </c>
    </row>
    <row r="365" spans="1:8">
      <c r="B365" t="s">
        <v>197</v>
      </c>
      <c r="C365">
        <v>5</v>
      </c>
      <c r="E365">
        <v>52667.22</v>
      </c>
      <c r="H365">
        <v>1.18</v>
      </c>
    </row>
    <row r="366" spans="1:8">
      <c r="B366" t="s">
        <v>199</v>
      </c>
      <c r="C366">
        <v>2</v>
      </c>
      <c r="E366">
        <v>52740.482000000004</v>
      </c>
    </row>
    <row r="367" spans="1:8">
      <c r="B367" t="s">
        <v>3641</v>
      </c>
      <c r="C367">
        <v>1</v>
      </c>
      <c r="E367">
        <v>52746.93</v>
      </c>
      <c r="F367" t="s">
        <v>34</v>
      </c>
    </row>
    <row r="368" spans="1:8">
      <c r="B368" t="s">
        <v>3642</v>
      </c>
      <c r="C368">
        <v>6</v>
      </c>
      <c r="E368">
        <v>52782.805999999997</v>
      </c>
    </row>
    <row r="369" spans="2:8">
      <c r="B369" t="s">
        <v>3643</v>
      </c>
      <c r="C369">
        <v>3</v>
      </c>
      <c r="E369">
        <v>52902.15</v>
      </c>
    </row>
    <row r="370" spans="2:8">
      <c r="B370" t="s">
        <v>3644</v>
      </c>
      <c r="C370">
        <v>1</v>
      </c>
      <c r="E370">
        <v>52941.277999999998</v>
      </c>
    </row>
    <row r="371" spans="2:8">
      <c r="B371" t="s">
        <v>3645</v>
      </c>
      <c r="C371">
        <v>2</v>
      </c>
      <c r="E371">
        <v>52964.563999999998</v>
      </c>
    </row>
    <row r="372" spans="2:8">
      <c r="B372" t="s">
        <v>3646</v>
      </c>
      <c r="C372">
        <v>4</v>
      </c>
      <c r="E372">
        <v>53005.644</v>
      </c>
      <c r="H372">
        <v>1.35</v>
      </c>
    </row>
    <row r="373" spans="2:8">
      <c r="B373" t="s">
        <v>3647</v>
      </c>
      <c r="C373">
        <v>4</v>
      </c>
      <c r="E373">
        <v>53108.775999999998</v>
      </c>
    </row>
    <row r="374" spans="2:8">
      <c r="B374" t="s">
        <v>3648</v>
      </c>
      <c r="C374">
        <v>5</v>
      </c>
      <c r="E374">
        <v>53112.2</v>
      </c>
      <c r="F374" t="s">
        <v>34</v>
      </c>
      <c r="H374">
        <v>1.4</v>
      </c>
    </row>
    <row r="375" spans="2:8">
      <c r="B375" t="s">
        <v>3649</v>
      </c>
      <c r="C375">
        <v>6</v>
      </c>
      <c r="E375">
        <v>53184.262999999999</v>
      </c>
      <c r="H375">
        <v>1.04</v>
      </c>
    </row>
    <row r="376" spans="2:8">
      <c r="B376" t="s">
        <v>3650</v>
      </c>
      <c r="C376">
        <v>5</v>
      </c>
      <c r="E376">
        <v>53197.855000000003</v>
      </c>
      <c r="H376">
        <v>1.3240000000000001</v>
      </c>
    </row>
    <row r="377" spans="2:8">
      <c r="B377" t="s">
        <v>3651</v>
      </c>
      <c r="C377">
        <v>3</v>
      </c>
      <c r="E377">
        <v>53226.8</v>
      </c>
      <c r="H377">
        <v>1.01</v>
      </c>
    </row>
    <row r="378" spans="2:8">
      <c r="B378" t="s">
        <v>3652</v>
      </c>
      <c r="C378">
        <v>6</v>
      </c>
      <c r="E378">
        <v>53290.673999999999</v>
      </c>
    </row>
    <row r="379" spans="2:8">
      <c r="B379" t="s">
        <v>3653</v>
      </c>
      <c r="C379">
        <v>3</v>
      </c>
      <c r="E379">
        <v>53305.671000000002</v>
      </c>
    </row>
    <row r="380" spans="2:8">
      <c r="B380" t="s">
        <v>3654</v>
      </c>
      <c r="C380">
        <v>5</v>
      </c>
      <c r="E380">
        <v>53327.366000000002</v>
      </c>
    </row>
    <row r="381" spans="2:8">
      <c r="B381" t="s">
        <v>3655</v>
      </c>
      <c r="C381">
        <v>4</v>
      </c>
      <c r="E381">
        <v>53478.798999999999</v>
      </c>
    </row>
    <row r="382" spans="2:8">
      <c r="B382" t="s">
        <v>3656</v>
      </c>
      <c r="C382">
        <v>1</v>
      </c>
      <c r="E382">
        <v>53482.858</v>
      </c>
    </row>
    <row r="383" spans="2:8">
      <c r="B383" t="s">
        <v>3657</v>
      </c>
      <c r="C383">
        <v>2</v>
      </c>
      <c r="E383">
        <v>53588.673999999999</v>
      </c>
      <c r="H383">
        <v>1.43</v>
      </c>
    </row>
    <row r="384" spans="2:8">
      <c r="B384" t="s">
        <v>3658</v>
      </c>
      <c r="C384">
        <v>3</v>
      </c>
      <c r="E384">
        <v>53595.11</v>
      </c>
      <c r="H384">
        <v>1.18</v>
      </c>
    </row>
    <row r="385" spans="2:8">
      <c r="B385" t="s">
        <v>3659</v>
      </c>
      <c r="C385">
        <v>7</v>
      </c>
      <c r="E385">
        <v>53636.731</v>
      </c>
      <c r="H385">
        <v>1.125</v>
      </c>
    </row>
    <row r="386" spans="2:8">
      <c r="B386" t="s">
        <v>3660</v>
      </c>
      <c r="C386">
        <v>3</v>
      </c>
      <c r="E386">
        <v>53643.754999999997</v>
      </c>
      <c r="H386">
        <v>1.37</v>
      </c>
    </row>
    <row r="387" spans="2:8">
      <c r="B387" t="s">
        <v>3661</v>
      </c>
      <c r="C387">
        <v>3</v>
      </c>
      <c r="E387">
        <v>53735.839</v>
      </c>
    </row>
    <row r="388" spans="2:8">
      <c r="B388" t="s">
        <v>3662</v>
      </c>
      <c r="C388">
        <v>4</v>
      </c>
      <c r="E388">
        <v>53800.38</v>
      </c>
      <c r="H388">
        <v>1.49</v>
      </c>
    </row>
    <row r="389" spans="2:8">
      <c r="B389" t="s">
        <v>3663</v>
      </c>
      <c r="C389">
        <v>4</v>
      </c>
      <c r="E389">
        <v>53855.099000000002</v>
      </c>
      <c r="H389">
        <v>1.17</v>
      </c>
    </row>
    <row r="390" spans="2:8">
      <c r="B390" t="s">
        <v>3664</v>
      </c>
      <c r="C390">
        <v>5</v>
      </c>
      <c r="E390">
        <v>53937.694000000003</v>
      </c>
      <c r="H390">
        <v>1.1399999999999999</v>
      </c>
    </row>
    <row r="391" spans="2:8">
      <c r="B391" t="s">
        <v>3665</v>
      </c>
      <c r="C391">
        <v>4</v>
      </c>
      <c r="E391">
        <v>53964.385000000002</v>
      </c>
      <c r="H391">
        <v>1.016</v>
      </c>
    </row>
    <row r="392" spans="2:8">
      <c r="B392" t="s">
        <v>3666</v>
      </c>
      <c r="C392">
        <v>1</v>
      </c>
      <c r="E392">
        <v>54184.34</v>
      </c>
      <c r="F392" t="s">
        <v>34</v>
      </c>
    </row>
    <row r="393" spans="2:8">
      <c r="B393" t="s">
        <v>3667</v>
      </c>
      <c r="C393">
        <v>4</v>
      </c>
      <c r="E393">
        <v>54292.161999999997</v>
      </c>
      <c r="H393">
        <v>1.04</v>
      </c>
    </row>
    <row r="394" spans="2:8">
      <c r="B394" t="s">
        <v>3668</v>
      </c>
      <c r="C394">
        <v>1</v>
      </c>
      <c r="E394">
        <v>54341</v>
      </c>
      <c r="F394" t="s">
        <v>34</v>
      </c>
    </row>
    <row r="395" spans="2:8">
      <c r="B395" t="s">
        <v>3669</v>
      </c>
      <c r="C395">
        <v>2</v>
      </c>
      <c r="E395">
        <v>54342.839</v>
      </c>
      <c r="H395">
        <v>1.48</v>
      </c>
    </row>
    <row r="396" spans="2:8">
      <c r="B396" t="s">
        <v>3670</v>
      </c>
      <c r="C396">
        <v>1</v>
      </c>
      <c r="E396">
        <v>54531.127999999997</v>
      </c>
    </row>
    <row r="397" spans="2:8">
      <c r="B397" t="s">
        <v>3671</v>
      </c>
      <c r="C397">
        <v>1</v>
      </c>
      <c r="E397">
        <v>54571.813999999998</v>
      </c>
      <c r="H397">
        <v>0.75</v>
      </c>
    </row>
    <row r="398" spans="2:8">
      <c r="B398" t="s">
        <v>3672</v>
      </c>
      <c r="C398">
        <v>5</v>
      </c>
      <c r="E398">
        <v>54704.485000000001</v>
      </c>
      <c r="H398">
        <v>0.91100000000000003</v>
      </c>
    </row>
    <row r="399" spans="2:8">
      <c r="B399" t="s">
        <v>3673</v>
      </c>
      <c r="C399">
        <v>7</v>
      </c>
      <c r="E399">
        <v>54738.517999999996</v>
      </c>
      <c r="H399">
        <v>1.1000000000000001</v>
      </c>
    </row>
    <row r="400" spans="2:8">
      <c r="B400" t="s">
        <v>3674</v>
      </c>
      <c r="C400">
        <v>3</v>
      </c>
      <c r="E400">
        <v>54839.231</v>
      </c>
      <c r="H400">
        <v>0.31</v>
      </c>
    </row>
    <row r="401" spans="1:8">
      <c r="B401" t="s">
        <v>3675</v>
      </c>
      <c r="C401">
        <v>3</v>
      </c>
      <c r="E401">
        <v>54888.968000000001</v>
      </c>
      <c r="H401">
        <v>0.84</v>
      </c>
    </row>
    <row r="402" spans="1:8">
      <c r="B402" t="s">
        <v>3676</v>
      </c>
      <c r="C402">
        <v>4</v>
      </c>
      <c r="E402">
        <v>55025.688999999998</v>
      </c>
      <c r="H402">
        <v>1.05</v>
      </c>
    </row>
    <row r="403" spans="1:8">
      <c r="B403" t="s">
        <v>3677</v>
      </c>
      <c r="C403">
        <v>6</v>
      </c>
      <c r="E403">
        <v>55139.705999999998</v>
      </c>
      <c r="H403">
        <v>0.96799999999999997</v>
      </c>
    </row>
    <row r="404" spans="1:8">
      <c r="B404" t="s">
        <v>3678</v>
      </c>
      <c r="C404">
        <v>3</v>
      </c>
      <c r="E404">
        <v>55327.6</v>
      </c>
      <c r="F404" t="s">
        <v>34</v>
      </c>
    </row>
    <row r="405" spans="1:8">
      <c r="B405" t="s">
        <v>3679</v>
      </c>
      <c r="C405">
        <v>3</v>
      </c>
      <c r="E405">
        <v>55352.718000000001</v>
      </c>
    </row>
    <row r="406" spans="1:8">
      <c r="B406" t="s">
        <v>3680</v>
      </c>
      <c r="C406">
        <v>5</v>
      </c>
      <c r="E406">
        <v>55387.358999999997</v>
      </c>
      <c r="H406">
        <v>1.1200000000000001</v>
      </c>
    </row>
    <row r="407" spans="1:8">
      <c r="B407" t="s">
        <v>3681</v>
      </c>
      <c r="C407">
        <v>4</v>
      </c>
      <c r="E407">
        <v>55529.803999999996</v>
      </c>
    </row>
    <row r="408" spans="1:8">
      <c r="B408" t="s">
        <v>3682</v>
      </c>
      <c r="C408">
        <v>4</v>
      </c>
      <c r="E408">
        <v>55907.67</v>
      </c>
      <c r="H408">
        <v>1.0900000000000001</v>
      </c>
    </row>
    <row r="409" spans="1:8">
      <c r="B409" t="s">
        <v>3683</v>
      </c>
      <c r="C409">
        <v>5</v>
      </c>
      <c r="E409">
        <v>55975.853000000003</v>
      </c>
      <c r="H409">
        <v>1.1000000000000001</v>
      </c>
    </row>
    <row r="410" spans="1:8">
      <c r="A410" t="s">
        <v>3684</v>
      </c>
      <c r="B410" t="s">
        <v>96</v>
      </c>
      <c r="C410">
        <v>5</v>
      </c>
      <c r="E410">
        <v>56161.807999999997</v>
      </c>
      <c r="H410">
        <v>0.96</v>
      </c>
    </row>
    <row r="411" spans="1:8">
      <c r="B411" t="s">
        <v>3685</v>
      </c>
      <c r="C411">
        <v>3</v>
      </c>
      <c r="E411">
        <v>56380.79</v>
      </c>
      <c r="F411" t="s">
        <v>34</v>
      </c>
      <c r="H411">
        <v>0.03</v>
      </c>
    </row>
    <row r="412" spans="1:8">
      <c r="A412" t="s">
        <v>3684</v>
      </c>
      <c r="B412" t="s">
        <v>88</v>
      </c>
      <c r="C412">
        <v>6</v>
      </c>
      <c r="E412">
        <v>56716.603000000003</v>
      </c>
      <c r="H412">
        <v>1</v>
      </c>
    </row>
    <row r="413" spans="1:8">
      <c r="B413" t="s">
        <v>3686</v>
      </c>
      <c r="C413">
        <v>6</v>
      </c>
      <c r="E413">
        <v>56890.73</v>
      </c>
      <c r="H413">
        <v>1.21</v>
      </c>
    </row>
    <row r="414" spans="1:8">
      <c r="B414" t="s">
        <v>3687</v>
      </c>
      <c r="C414">
        <v>4</v>
      </c>
      <c r="E414">
        <v>56945.788</v>
      </c>
    </row>
    <row r="415" spans="1:8">
      <c r="B415" t="s">
        <v>3688</v>
      </c>
      <c r="C415">
        <v>5</v>
      </c>
      <c r="E415">
        <v>57029.983999999997</v>
      </c>
      <c r="H415">
        <v>0.98</v>
      </c>
    </row>
    <row r="416" spans="1:8">
      <c r="B416" t="s">
        <v>3689</v>
      </c>
      <c r="C416">
        <v>3</v>
      </c>
      <c r="E416">
        <v>57144.26</v>
      </c>
      <c r="F416" t="s">
        <v>34</v>
      </c>
    </row>
    <row r="417" spans="1:9">
      <c r="A417" t="s">
        <v>3690</v>
      </c>
      <c r="B417" t="s">
        <v>202</v>
      </c>
      <c r="C417" t="s">
        <v>203</v>
      </c>
      <c r="E417">
        <v>57204.3</v>
      </c>
      <c r="G417">
        <v>0.3</v>
      </c>
      <c r="I417" t="s">
        <v>3577</v>
      </c>
    </row>
    <row r="418" spans="1:9">
      <c r="B418" t="s">
        <v>3691</v>
      </c>
      <c r="C418">
        <v>4</v>
      </c>
      <c r="E418">
        <v>57818.12</v>
      </c>
    </row>
    <row r="419" spans="1:9">
      <c r="B419" t="s">
        <v>3692</v>
      </c>
      <c r="C419">
        <v>4</v>
      </c>
      <c r="E419">
        <v>58090.1</v>
      </c>
    </row>
    <row r="420" spans="1:9">
      <c r="B420" t="s">
        <v>3693</v>
      </c>
      <c r="C420">
        <v>3</v>
      </c>
      <c r="E420">
        <v>58192.82</v>
      </c>
    </row>
    <row r="421" spans="1:9">
      <c r="B421" t="s">
        <v>3694</v>
      </c>
      <c r="C421">
        <v>6</v>
      </c>
      <c r="E421">
        <v>58525.71</v>
      </c>
      <c r="H421">
        <v>1.1499999999999999</v>
      </c>
    </row>
    <row r="422" spans="1:9">
      <c r="B422" t="s">
        <v>3695</v>
      </c>
      <c r="C422">
        <v>5</v>
      </c>
      <c r="E422">
        <v>58998.62</v>
      </c>
      <c r="H422">
        <v>0.88</v>
      </c>
    </row>
    <row r="423" spans="1:9">
      <c r="B423" t="s">
        <v>3696</v>
      </c>
      <c r="C423">
        <v>3</v>
      </c>
      <c r="E423">
        <v>59236.59</v>
      </c>
    </row>
    <row r="424" spans="1:9">
      <c r="B424" t="s">
        <v>3697</v>
      </c>
      <c r="C424">
        <v>2</v>
      </c>
      <c r="E424">
        <v>59249.760000000002</v>
      </c>
    </row>
    <row r="425" spans="1:9">
      <c r="B425" t="s">
        <v>3698</v>
      </c>
      <c r="C425">
        <v>5</v>
      </c>
      <c r="E425">
        <v>59436.61</v>
      </c>
      <c r="H425">
        <v>1.07</v>
      </c>
    </row>
    <row r="426" spans="1:9">
      <c r="B426" t="s">
        <v>3699</v>
      </c>
      <c r="C426">
        <v>5</v>
      </c>
      <c r="E426">
        <v>59612.36</v>
      </c>
      <c r="H426">
        <v>1.0900000000000001</v>
      </c>
    </row>
    <row r="427" spans="1:9">
      <c r="B427" t="s">
        <v>3700</v>
      </c>
      <c r="C427">
        <v>5</v>
      </c>
      <c r="E427">
        <v>59841.11</v>
      </c>
      <c r="H427">
        <v>0.93</v>
      </c>
    </row>
    <row r="428" spans="1:9">
      <c r="B428" t="s">
        <v>3701</v>
      </c>
      <c r="C428">
        <v>6</v>
      </c>
      <c r="E428">
        <v>60192</v>
      </c>
    </row>
    <row r="429" spans="1:9">
      <c r="B429" t="s">
        <v>3702</v>
      </c>
      <c r="C429">
        <v>7</v>
      </c>
      <c r="E429">
        <v>61470.51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E251-3CEE-4FC3-9D29-7D9FFFDCE937}">
  <dimension ref="A1:J291"/>
  <sheetViews>
    <sheetView workbookViewId="0">
      <selection sqref="A1:J1048576"/>
    </sheetView>
  </sheetViews>
  <sheetFormatPr defaultRowHeight="15"/>
  <cols>
    <col min="1" max="1" width="19.140625" bestFit="1" customWidth="1"/>
    <col min="2" max="2" width="5.5703125" bestFit="1" customWidth="1"/>
    <col min="3" max="3" width="4.855468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35.5703125" bestFit="1" customWidth="1"/>
    <col min="10" max="10" width="11.2851562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3703</v>
      </c>
      <c r="B2" t="s">
        <v>3704</v>
      </c>
      <c r="C2" s="2" t="s">
        <v>249</v>
      </c>
      <c r="E2">
        <v>0</v>
      </c>
      <c r="H2">
        <v>1.99</v>
      </c>
      <c r="I2">
        <v>99</v>
      </c>
      <c r="J2" t="s">
        <v>3705</v>
      </c>
    </row>
    <row r="3" spans="1:10">
      <c r="A3" t="s">
        <v>3706</v>
      </c>
      <c r="B3" t="s">
        <v>1621</v>
      </c>
      <c r="C3" s="2" t="s">
        <v>252</v>
      </c>
      <c r="E3">
        <v>2572.89</v>
      </c>
      <c r="H3">
        <v>1.6</v>
      </c>
      <c r="I3">
        <v>99</v>
      </c>
      <c r="J3" t="s">
        <v>3705</v>
      </c>
    </row>
    <row r="4" spans="1:10">
      <c r="A4" t="s">
        <v>3706</v>
      </c>
      <c r="B4" t="s">
        <v>1621</v>
      </c>
      <c r="C4" s="2" t="s">
        <v>251</v>
      </c>
      <c r="E4">
        <v>3250.91</v>
      </c>
      <c r="H4">
        <v>1.59</v>
      </c>
      <c r="I4">
        <v>99</v>
      </c>
      <c r="J4" t="s">
        <v>3705</v>
      </c>
    </row>
    <row r="5" spans="1:10">
      <c r="A5" t="s">
        <v>3706</v>
      </c>
      <c r="B5" t="s">
        <v>1621</v>
      </c>
      <c r="C5" s="2" t="s">
        <v>249</v>
      </c>
      <c r="E5">
        <v>3700.54</v>
      </c>
      <c r="H5">
        <v>1.65</v>
      </c>
      <c r="I5">
        <v>99</v>
      </c>
      <c r="J5" t="s">
        <v>3705</v>
      </c>
    </row>
    <row r="6" spans="1:10">
      <c r="A6" t="s">
        <v>3706</v>
      </c>
      <c r="B6" t="s">
        <v>1621</v>
      </c>
      <c r="C6" s="2" t="s">
        <v>250</v>
      </c>
      <c r="E6">
        <v>4002.57</v>
      </c>
      <c r="H6">
        <v>1.86</v>
      </c>
      <c r="I6">
        <v>99</v>
      </c>
      <c r="J6" t="s">
        <v>3705</v>
      </c>
    </row>
    <row r="7" spans="1:10">
      <c r="A7" t="s">
        <v>3706</v>
      </c>
      <c r="B7" t="s">
        <v>1621</v>
      </c>
      <c r="C7" s="2" t="s">
        <v>248</v>
      </c>
      <c r="E7">
        <v>4178.75</v>
      </c>
      <c r="H7">
        <v>3.32</v>
      </c>
      <c r="I7">
        <v>99</v>
      </c>
      <c r="J7" t="s">
        <v>3705</v>
      </c>
    </row>
    <row r="8" spans="1:10">
      <c r="A8" t="s">
        <v>3706</v>
      </c>
      <c r="B8" t="s">
        <v>231</v>
      </c>
      <c r="C8" s="2" t="s">
        <v>251</v>
      </c>
      <c r="E8">
        <v>10516.53</v>
      </c>
      <c r="H8">
        <v>1.44</v>
      </c>
      <c r="I8" t="s">
        <v>3707</v>
      </c>
      <c r="J8" t="s">
        <v>3705</v>
      </c>
    </row>
    <row r="9" spans="1:10">
      <c r="A9" t="s">
        <v>3706</v>
      </c>
      <c r="B9" t="s">
        <v>231</v>
      </c>
      <c r="C9" s="2" t="s">
        <v>249</v>
      </c>
      <c r="E9">
        <v>11063.07</v>
      </c>
      <c r="H9">
        <v>1.37</v>
      </c>
      <c r="I9" t="s">
        <v>3708</v>
      </c>
      <c r="J9" t="s">
        <v>3705</v>
      </c>
    </row>
    <row r="10" spans="1:10">
      <c r="A10" t="s">
        <v>3706</v>
      </c>
      <c r="B10" t="s">
        <v>231</v>
      </c>
      <c r="C10" s="2" t="s">
        <v>250</v>
      </c>
      <c r="E10">
        <v>11578.6</v>
      </c>
      <c r="H10">
        <v>1.21</v>
      </c>
      <c r="I10" t="s">
        <v>3709</v>
      </c>
      <c r="J10" t="s">
        <v>3705</v>
      </c>
    </row>
    <row r="11" spans="1:10">
      <c r="A11" t="s">
        <v>3706</v>
      </c>
      <c r="B11" t="s">
        <v>231</v>
      </c>
      <c r="C11" s="2" t="s">
        <v>248</v>
      </c>
      <c r="E11">
        <v>11890.7</v>
      </c>
      <c r="H11">
        <v>0.02</v>
      </c>
      <c r="I11" t="s">
        <v>3710</v>
      </c>
      <c r="J11" t="s">
        <v>3705</v>
      </c>
    </row>
    <row r="12" spans="1:10">
      <c r="A12" t="s">
        <v>3711</v>
      </c>
      <c r="B12" t="s">
        <v>586</v>
      </c>
      <c r="C12" s="2" t="s">
        <v>249</v>
      </c>
      <c r="E12">
        <v>13252.74</v>
      </c>
      <c r="H12">
        <v>1.62</v>
      </c>
      <c r="I12" t="s">
        <v>3712</v>
      </c>
      <c r="J12" t="s">
        <v>3705</v>
      </c>
    </row>
    <row r="13" spans="1:10">
      <c r="A13" t="s">
        <v>3711</v>
      </c>
      <c r="B13" t="s">
        <v>586</v>
      </c>
      <c r="C13" s="2" t="s">
        <v>250</v>
      </c>
      <c r="E13">
        <v>14169.75</v>
      </c>
      <c r="H13">
        <v>1.7</v>
      </c>
      <c r="I13" t="s">
        <v>3713</v>
      </c>
      <c r="J13" t="s">
        <v>3705</v>
      </c>
    </row>
    <row r="14" spans="1:10">
      <c r="A14" t="s">
        <v>3711</v>
      </c>
      <c r="B14" t="s">
        <v>586</v>
      </c>
      <c r="C14" s="2" t="s">
        <v>248</v>
      </c>
      <c r="E14">
        <v>14679.9</v>
      </c>
      <c r="H14">
        <v>2.63</v>
      </c>
      <c r="I14" t="s">
        <v>3714</v>
      </c>
      <c r="J14" t="s">
        <v>3705</v>
      </c>
    </row>
    <row r="15" spans="1:10">
      <c r="A15" t="s">
        <v>3715</v>
      </c>
      <c r="B15" t="s">
        <v>576</v>
      </c>
      <c r="C15" s="2" t="s">
        <v>252</v>
      </c>
      <c r="E15">
        <v>14733.14</v>
      </c>
      <c r="H15">
        <v>1.31</v>
      </c>
      <c r="I15" t="s">
        <v>3716</v>
      </c>
      <c r="J15" t="s">
        <v>3705</v>
      </c>
    </row>
    <row r="16" spans="1:10">
      <c r="A16" t="s">
        <v>3715</v>
      </c>
      <c r="B16" t="s">
        <v>576</v>
      </c>
      <c r="C16" s="2" t="s">
        <v>251</v>
      </c>
      <c r="E16">
        <v>20783.830000000002</v>
      </c>
      <c r="I16" t="s">
        <v>3717</v>
      </c>
      <c r="J16" t="s">
        <v>3705</v>
      </c>
    </row>
    <row r="17" spans="1:10">
      <c r="A17" t="s">
        <v>3715</v>
      </c>
      <c r="B17" t="s">
        <v>576</v>
      </c>
      <c r="C17" s="2" t="s">
        <v>249</v>
      </c>
      <c r="E17">
        <v>21206.34</v>
      </c>
      <c r="I17" t="s">
        <v>3718</v>
      </c>
      <c r="J17" t="s">
        <v>3705</v>
      </c>
    </row>
    <row r="18" spans="1:10">
      <c r="A18" t="s">
        <v>3715</v>
      </c>
      <c r="B18" t="s">
        <v>576</v>
      </c>
      <c r="C18" s="2" t="s">
        <v>250</v>
      </c>
      <c r="E18">
        <v>21447.47</v>
      </c>
      <c r="I18" t="s">
        <v>3719</v>
      </c>
      <c r="J18" t="s">
        <v>3705</v>
      </c>
    </row>
    <row r="19" spans="1:10">
      <c r="A19" t="s">
        <v>3720</v>
      </c>
      <c r="B19" t="s">
        <v>576</v>
      </c>
      <c r="C19" s="2" t="s">
        <v>251</v>
      </c>
      <c r="E19">
        <v>15298.46</v>
      </c>
      <c r="H19">
        <v>1.2</v>
      </c>
      <c r="I19" t="s">
        <v>3721</v>
      </c>
      <c r="J19" t="s">
        <v>3705</v>
      </c>
    </row>
    <row r="20" spans="1:10">
      <c r="A20" t="s">
        <v>3720</v>
      </c>
      <c r="B20" t="s">
        <v>576</v>
      </c>
      <c r="C20" s="2" t="s">
        <v>249</v>
      </c>
      <c r="E20">
        <v>15624.25</v>
      </c>
      <c r="H20">
        <v>1.02</v>
      </c>
      <c r="I20" t="s">
        <v>3722</v>
      </c>
      <c r="J20" t="s">
        <v>3705</v>
      </c>
    </row>
    <row r="21" spans="1:10">
      <c r="A21" t="s">
        <v>3720</v>
      </c>
      <c r="B21" t="s">
        <v>576</v>
      </c>
      <c r="C21" s="2" t="s">
        <v>250</v>
      </c>
      <c r="E21">
        <v>15770.42</v>
      </c>
      <c r="H21">
        <v>0.42</v>
      </c>
      <c r="I21" t="s">
        <v>3723</v>
      </c>
      <c r="J21" t="s">
        <v>3705</v>
      </c>
    </row>
    <row r="22" spans="1:10">
      <c r="A22" t="s">
        <v>3720</v>
      </c>
      <c r="B22" t="s">
        <v>576</v>
      </c>
      <c r="C22" s="2" t="s">
        <v>252</v>
      </c>
      <c r="E22">
        <v>19791.939999999999</v>
      </c>
      <c r="I22" t="s">
        <v>3724</v>
      </c>
      <c r="J22" t="s">
        <v>3705</v>
      </c>
    </row>
    <row r="23" spans="1:10">
      <c r="A23" t="s">
        <v>3703</v>
      </c>
      <c r="B23" t="s">
        <v>651</v>
      </c>
      <c r="C23" s="2" t="s">
        <v>1702</v>
      </c>
      <c r="E23">
        <v>16025.15</v>
      </c>
      <c r="H23">
        <v>1.23</v>
      </c>
      <c r="I23" t="s">
        <v>3725</v>
      </c>
      <c r="J23" t="s">
        <v>3705</v>
      </c>
    </row>
    <row r="24" spans="1:10">
      <c r="A24" t="s">
        <v>3703</v>
      </c>
      <c r="B24" t="s">
        <v>651</v>
      </c>
      <c r="C24" s="2" t="s">
        <v>252</v>
      </c>
      <c r="E24">
        <v>16133.98</v>
      </c>
      <c r="H24">
        <v>1.17</v>
      </c>
      <c r="I24" t="s">
        <v>3726</v>
      </c>
      <c r="J24" t="s">
        <v>3705</v>
      </c>
    </row>
    <row r="25" spans="1:10">
      <c r="A25" t="s">
        <v>3703</v>
      </c>
      <c r="B25" t="s">
        <v>651</v>
      </c>
      <c r="C25" s="2" t="s">
        <v>251</v>
      </c>
      <c r="E25">
        <v>16287.79</v>
      </c>
      <c r="H25">
        <v>0.95</v>
      </c>
      <c r="I25" t="s">
        <v>3727</v>
      </c>
      <c r="J25" t="s">
        <v>3705</v>
      </c>
    </row>
    <row r="26" spans="1:10">
      <c r="A26" t="s">
        <v>3703</v>
      </c>
      <c r="B26" t="s">
        <v>651</v>
      </c>
      <c r="C26" s="2" t="s">
        <v>249</v>
      </c>
      <c r="E26">
        <v>16415.64</v>
      </c>
      <c r="H26">
        <v>0.57999999999999996</v>
      </c>
      <c r="I26" t="s">
        <v>3728</v>
      </c>
      <c r="J26" t="s">
        <v>3705</v>
      </c>
    </row>
    <row r="27" spans="1:10">
      <c r="A27" t="s">
        <v>3729</v>
      </c>
      <c r="B27" t="s">
        <v>2240</v>
      </c>
      <c r="C27" s="2" t="s">
        <v>249</v>
      </c>
      <c r="E27">
        <v>16428.71</v>
      </c>
      <c r="H27">
        <v>2.2999999999999998</v>
      </c>
      <c r="I27">
        <v>98</v>
      </c>
      <c r="J27" t="s">
        <v>3705</v>
      </c>
    </row>
    <row r="28" spans="1:10">
      <c r="A28" t="s">
        <v>3729</v>
      </c>
      <c r="B28" t="s">
        <v>2240</v>
      </c>
      <c r="C28" s="2" t="s">
        <v>251</v>
      </c>
      <c r="E28">
        <v>16874.509999999998</v>
      </c>
      <c r="H28">
        <v>1.94</v>
      </c>
      <c r="I28">
        <v>98</v>
      </c>
      <c r="J28" t="s">
        <v>3705</v>
      </c>
    </row>
    <row r="29" spans="1:10">
      <c r="A29" t="s">
        <v>3729</v>
      </c>
      <c r="B29" t="s">
        <v>2240</v>
      </c>
      <c r="C29" s="2" t="s">
        <v>252</v>
      </c>
      <c r="E29">
        <v>17522.919999999998</v>
      </c>
      <c r="H29">
        <v>1.8</v>
      </c>
      <c r="I29">
        <v>99</v>
      </c>
      <c r="J29" t="s">
        <v>3705</v>
      </c>
    </row>
    <row r="30" spans="1:10">
      <c r="A30" t="s">
        <v>3730</v>
      </c>
      <c r="B30" t="s">
        <v>716</v>
      </c>
      <c r="C30" s="2" t="s">
        <v>720</v>
      </c>
      <c r="E30">
        <v>16553.39</v>
      </c>
      <c r="I30">
        <v>99</v>
      </c>
      <c r="J30" t="s">
        <v>3705</v>
      </c>
    </row>
    <row r="31" spans="1:10">
      <c r="A31" t="s">
        <v>3730</v>
      </c>
      <c r="B31" t="s">
        <v>716</v>
      </c>
      <c r="C31" s="2" t="s">
        <v>1702</v>
      </c>
      <c r="E31">
        <v>17146.8</v>
      </c>
      <c r="I31" t="s">
        <v>3731</v>
      </c>
      <c r="J31" t="s">
        <v>3705</v>
      </c>
    </row>
    <row r="32" spans="1:10">
      <c r="A32" t="s">
        <v>3730</v>
      </c>
      <c r="B32" t="s">
        <v>716</v>
      </c>
      <c r="C32" s="2" t="s">
        <v>251</v>
      </c>
      <c r="E32">
        <v>17282.63</v>
      </c>
      <c r="I32" t="s">
        <v>3732</v>
      </c>
      <c r="J32" t="s">
        <v>3705</v>
      </c>
    </row>
    <row r="33" spans="1:10">
      <c r="A33" t="s">
        <v>3730</v>
      </c>
      <c r="B33" t="s">
        <v>716</v>
      </c>
      <c r="C33" s="2" t="s">
        <v>252</v>
      </c>
      <c r="E33">
        <v>17328.02</v>
      </c>
      <c r="I33" t="s">
        <v>3733</v>
      </c>
      <c r="J33" t="s">
        <v>3705</v>
      </c>
    </row>
    <row r="34" spans="1:10">
      <c r="A34" t="s">
        <v>3734</v>
      </c>
      <c r="B34" t="s">
        <v>231</v>
      </c>
      <c r="C34" s="2" t="s">
        <v>250</v>
      </c>
      <c r="E34">
        <v>19702.77</v>
      </c>
      <c r="I34" t="s">
        <v>3735</v>
      </c>
      <c r="J34" t="s">
        <v>3705</v>
      </c>
    </row>
    <row r="35" spans="1:10">
      <c r="A35" t="s">
        <v>3734</v>
      </c>
      <c r="B35" t="s">
        <v>231</v>
      </c>
      <c r="C35" s="2" t="s">
        <v>248</v>
      </c>
      <c r="E35">
        <v>19827.5</v>
      </c>
      <c r="I35" t="s">
        <v>3736</v>
      </c>
      <c r="J35" t="s">
        <v>3705</v>
      </c>
    </row>
    <row r="36" spans="1:10">
      <c r="A36" t="s">
        <v>3734</v>
      </c>
      <c r="B36" t="s">
        <v>231</v>
      </c>
      <c r="C36" s="2" t="s">
        <v>251</v>
      </c>
      <c r="E36">
        <v>25058.560000000001</v>
      </c>
      <c r="I36" t="s">
        <v>3737</v>
      </c>
      <c r="J36" t="s">
        <v>3705</v>
      </c>
    </row>
    <row r="37" spans="1:10">
      <c r="A37" t="s">
        <v>3734</v>
      </c>
      <c r="B37" t="s">
        <v>231</v>
      </c>
      <c r="C37" s="2" t="s">
        <v>249</v>
      </c>
      <c r="E37">
        <v>25174.13</v>
      </c>
      <c r="I37" t="s">
        <v>3738</v>
      </c>
      <c r="J37" t="s">
        <v>3705</v>
      </c>
    </row>
    <row r="38" spans="1:10">
      <c r="A38" t="s">
        <v>3703</v>
      </c>
      <c r="B38" t="s">
        <v>231</v>
      </c>
      <c r="C38" s="2" t="s">
        <v>249</v>
      </c>
      <c r="E38">
        <v>19895.41</v>
      </c>
      <c r="I38" t="s">
        <v>3739</v>
      </c>
      <c r="J38" t="s">
        <v>3705</v>
      </c>
    </row>
    <row r="39" spans="1:10">
      <c r="A39" t="s">
        <v>3703</v>
      </c>
      <c r="B39" t="s">
        <v>231</v>
      </c>
      <c r="C39" s="2" t="s">
        <v>251</v>
      </c>
      <c r="E39">
        <v>19903.57</v>
      </c>
      <c r="I39" t="s">
        <v>3740</v>
      </c>
      <c r="J39" t="s">
        <v>3705</v>
      </c>
    </row>
    <row r="40" spans="1:10">
      <c r="A40" t="s">
        <v>3703</v>
      </c>
      <c r="B40" t="s">
        <v>231</v>
      </c>
      <c r="C40" s="2" t="s">
        <v>250</v>
      </c>
      <c r="E40">
        <v>25405.69</v>
      </c>
      <c r="I40" t="s">
        <v>3741</v>
      </c>
      <c r="J40" t="s">
        <v>3705</v>
      </c>
    </row>
    <row r="41" spans="1:10">
      <c r="A41" t="s">
        <v>3734</v>
      </c>
      <c r="B41" t="s">
        <v>595</v>
      </c>
      <c r="C41" s="2" t="s">
        <v>250</v>
      </c>
      <c r="E41">
        <v>20231.22</v>
      </c>
      <c r="I41" t="s">
        <v>3742</v>
      </c>
      <c r="J41" t="s">
        <v>3705</v>
      </c>
    </row>
    <row r="42" spans="1:10">
      <c r="A42" t="s">
        <v>3720</v>
      </c>
      <c r="B42" t="s">
        <v>577</v>
      </c>
      <c r="C42" s="2" t="s">
        <v>251</v>
      </c>
      <c r="E42">
        <v>20384.740000000002</v>
      </c>
      <c r="I42" t="s">
        <v>3743</v>
      </c>
      <c r="J42" t="s">
        <v>3705</v>
      </c>
    </row>
    <row r="43" spans="1:10">
      <c r="A43" t="s">
        <v>3720</v>
      </c>
      <c r="B43" t="s">
        <v>577</v>
      </c>
      <c r="C43" s="2" t="s">
        <v>249</v>
      </c>
      <c r="E43">
        <v>20523.34</v>
      </c>
      <c r="I43" t="s">
        <v>3744</v>
      </c>
      <c r="J43" t="s">
        <v>3705</v>
      </c>
    </row>
    <row r="44" spans="1:10">
      <c r="A44" t="s">
        <v>3745</v>
      </c>
      <c r="B44" t="s">
        <v>651</v>
      </c>
      <c r="C44" s="2" t="s">
        <v>1702</v>
      </c>
      <c r="E44">
        <v>20639.36</v>
      </c>
      <c r="I44" t="s">
        <v>3746</v>
      </c>
      <c r="J44" t="s">
        <v>3705</v>
      </c>
    </row>
    <row r="45" spans="1:10">
      <c r="A45" t="s">
        <v>3745</v>
      </c>
      <c r="B45" t="s">
        <v>651</v>
      </c>
      <c r="C45" s="2" t="s">
        <v>252</v>
      </c>
      <c r="E45">
        <v>21450.48</v>
      </c>
      <c r="I45" t="s">
        <v>3747</v>
      </c>
      <c r="J45" t="s">
        <v>3705</v>
      </c>
    </row>
    <row r="46" spans="1:10">
      <c r="A46" t="s">
        <v>3745</v>
      </c>
      <c r="B46" t="s">
        <v>651</v>
      </c>
      <c r="C46" s="2" t="s">
        <v>251</v>
      </c>
      <c r="E46">
        <v>21752.14</v>
      </c>
      <c r="I46" t="s">
        <v>3748</v>
      </c>
      <c r="J46" t="s">
        <v>3705</v>
      </c>
    </row>
    <row r="47" spans="1:10">
      <c r="A47" t="s">
        <v>3745</v>
      </c>
      <c r="B47" t="s">
        <v>651</v>
      </c>
      <c r="C47" s="2" t="s">
        <v>249</v>
      </c>
      <c r="E47">
        <v>21920.15</v>
      </c>
      <c r="I47" t="s">
        <v>3749</v>
      </c>
      <c r="J47" t="s">
        <v>3705</v>
      </c>
    </row>
    <row r="48" spans="1:10">
      <c r="A48" t="s">
        <v>3734</v>
      </c>
      <c r="B48" t="s">
        <v>209</v>
      </c>
      <c r="C48" s="2" t="s">
        <v>249</v>
      </c>
      <c r="E48">
        <v>20686.259999999998</v>
      </c>
      <c r="I48" t="s">
        <v>3750</v>
      </c>
      <c r="J48" t="s">
        <v>3705</v>
      </c>
    </row>
    <row r="49" spans="1:10">
      <c r="A49" t="s">
        <v>3734</v>
      </c>
      <c r="B49" t="s">
        <v>209</v>
      </c>
      <c r="C49" s="2" t="s">
        <v>250</v>
      </c>
      <c r="E49">
        <v>21926.79</v>
      </c>
      <c r="I49" t="s">
        <v>3751</v>
      </c>
      <c r="J49" t="s">
        <v>3705</v>
      </c>
    </row>
    <row r="50" spans="1:10">
      <c r="A50" t="s">
        <v>3730</v>
      </c>
      <c r="B50" t="s">
        <v>645</v>
      </c>
      <c r="C50" s="2" t="s">
        <v>252</v>
      </c>
      <c r="E50">
        <v>21204.959999999999</v>
      </c>
      <c r="I50" t="s">
        <v>3752</v>
      </c>
      <c r="J50" t="s">
        <v>3705</v>
      </c>
    </row>
    <row r="51" spans="1:10">
      <c r="A51" t="s">
        <v>3730</v>
      </c>
      <c r="B51" t="s">
        <v>645</v>
      </c>
      <c r="C51" s="2" t="s">
        <v>1702</v>
      </c>
      <c r="E51">
        <v>21719.83</v>
      </c>
      <c r="I51" t="s">
        <v>3753</v>
      </c>
      <c r="J51" t="s">
        <v>3705</v>
      </c>
    </row>
    <row r="52" spans="1:10">
      <c r="A52" t="s">
        <v>3745</v>
      </c>
      <c r="B52" t="s">
        <v>594</v>
      </c>
      <c r="C52" s="2" t="s">
        <v>252</v>
      </c>
      <c r="E52">
        <v>22180.1</v>
      </c>
      <c r="I52" t="s">
        <v>3754</v>
      </c>
      <c r="J52" t="s">
        <v>3705</v>
      </c>
    </row>
    <row r="53" spans="1:10">
      <c r="A53" t="s">
        <v>3745</v>
      </c>
      <c r="B53" t="s">
        <v>594</v>
      </c>
      <c r="C53" s="2" t="s">
        <v>251</v>
      </c>
      <c r="E53">
        <v>22615.94</v>
      </c>
      <c r="I53" t="s">
        <v>3755</v>
      </c>
      <c r="J53" t="s">
        <v>3705</v>
      </c>
    </row>
    <row r="54" spans="1:10">
      <c r="A54" t="s">
        <v>3703</v>
      </c>
      <c r="B54" t="s">
        <v>586</v>
      </c>
      <c r="C54" s="2" t="s">
        <v>249</v>
      </c>
      <c r="E54">
        <v>22265.46</v>
      </c>
      <c r="I54" t="s">
        <v>3756</v>
      </c>
      <c r="J54" t="s">
        <v>3705</v>
      </c>
    </row>
    <row r="55" spans="1:10">
      <c r="A55" t="s">
        <v>3703</v>
      </c>
      <c r="B55" t="s">
        <v>586</v>
      </c>
      <c r="C55" s="2" t="s">
        <v>250</v>
      </c>
      <c r="E55">
        <v>22503.1</v>
      </c>
      <c r="I55" t="s">
        <v>3757</v>
      </c>
      <c r="J55" t="s">
        <v>3705</v>
      </c>
    </row>
    <row r="56" spans="1:10">
      <c r="A56" t="s">
        <v>3729</v>
      </c>
      <c r="B56" t="s">
        <v>1481</v>
      </c>
      <c r="C56" s="2" t="s">
        <v>251</v>
      </c>
      <c r="E56">
        <v>23265.32</v>
      </c>
      <c r="H56">
        <v>1.7</v>
      </c>
      <c r="I56" t="s">
        <v>3758</v>
      </c>
      <c r="J56" t="s">
        <v>3705</v>
      </c>
    </row>
    <row r="57" spans="1:10">
      <c r="A57" t="s">
        <v>3729</v>
      </c>
      <c r="B57" t="s">
        <v>1481</v>
      </c>
      <c r="C57" s="2" t="s">
        <v>249</v>
      </c>
      <c r="E57">
        <v>23455.21</v>
      </c>
      <c r="H57">
        <v>1.9</v>
      </c>
      <c r="I57" t="s">
        <v>3759</v>
      </c>
      <c r="J57" t="s">
        <v>3705</v>
      </c>
    </row>
    <row r="58" spans="1:10">
      <c r="A58" t="s">
        <v>3729</v>
      </c>
      <c r="B58" t="s">
        <v>1481</v>
      </c>
      <c r="C58" s="2" t="s">
        <v>250</v>
      </c>
      <c r="E58">
        <v>23588.400000000001</v>
      </c>
      <c r="H58">
        <v>2.42</v>
      </c>
      <c r="I58" t="s">
        <v>3760</v>
      </c>
      <c r="J58" t="s">
        <v>3705</v>
      </c>
    </row>
    <row r="59" spans="1:10">
      <c r="B59">
        <v>3</v>
      </c>
      <c r="C59" s="2" t="s">
        <v>251</v>
      </c>
      <c r="E59">
        <v>23460.03</v>
      </c>
      <c r="F59" t="s">
        <v>34</v>
      </c>
      <c r="I59" t="s">
        <v>816</v>
      </c>
      <c r="J59" t="s">
        <v>3761</v>
      </c>
    </row>
    <row r="60" spans="1:10">
      <c r="A60" t="s">
        <v>3762</v>
      </c>
      <c r="B60" t="s">
        <v>594</v>
      </c>
      <c r="C60" s="2" t="s">
        <v>251</v>
      </c>
      <c r="E60">
        <v>23957.759999999998</v>
      </c>
      <c r="I60" t="s">
        <v>3763</v>
      </c>
      <c r="J60" t="s">
        <v>3705</v>
      </c>
    </row>
    <row r="61" spans="1:10">
      <c r="A61" t="s">
        <v>3762</v>
      </c>
      <c r="B61" t="s">
        <v>594</v>
      </c>
      <c r="C61" s="2" t="s">
        <v>252</v>
      </c>
      <c r="E61">
        <v>24147.13</v>
      </c>
      <c r="I61" t="s">
        <v>3764</v>
      </c>
      <c r="J61" t="s">
        <v>3705</v>
      </c>
    </row>
    <row r="62" spans="1:10">
      <c r="A62" t="s">
        <v>3765</v>
      </c>
      <c r="B62" t="s">
        <v>1121</v>
      </c>
      <c r="C62" s="2" t="s">
        <v>720</v>
      </c>
      <c r="E62">
        <v>24528.84</v>
      </c>
      <c r="I62" t="s">
        <v>3766</v>
      </c>
      <c r="J62" t="s">
        <v>3705</v>
      </c>
    </row>
    <row r="63" spans="1:10">
      <c r="A63" t="s">
        <v>3765</v>
      </c>
      <c r="B63" t="s">
        <v>1121</v>
      </c>
      <c r="C63" s="2" t="s">
        <v>1702</v>
      </c>
      <c r="E63">
        <v>24564.76</v>
      </c>
      <c r="I63" t="s">
        <v>3767</v>
      </c>
      <c r="J63" t="s">
        <v>3705</v>
      </c>
    </row>
    <row r="64" spans="1:10">
      <c r="A64" t="s">
        <v>3768</v>
      </c>
      <c r="B64" t="s">
        <v>209</v>
      </c>
      <c r="C64" s="2" t="s">
        <v>249</v>
      </c>
      <c r="E64">
        <v>25598.3</v>
      </c>
      <c r="I64" t="s">
        <v>3769</v>
      </c>
      <c r="J64" t="s">
        <v>3705</v>
      </c>
    </row>
    <row r="65" spans="1:10">
      <c r="A65" t="s">
        <v>3715</v>
      </c>
      <c r="B65" t="s">
        <v>586</v>
      </c>
      <c r="C65" s="2" t="s">
        <v>250</v>
      </c>
      <c r="E65">
        <v>26788.59</v>
      </c>
      <c r="I65" t="s">
        <v>3770</v>
      </c>
      <c r="J65" t="s">
        <v>3705</v>
      </c>
    </row>
    <row r="66" spans="1:10">
      <c r="A66" t="s">
        <v>3715</v>
      </c>
      <c r="B66" t="s">
        <v>586</v>
      </c>
      <c r="C66" s="2" t="s">
        <v>249</v>
      </c>
      <c r="E66">
        <v>26883.58</v>
      </c>
      <c r="I66" t="s">
        <v>3771</v>
      </c>
      <c r="J66" t="s">
        <v>3705</v>
      </c>
    </row>
    <row r="67" spans="1:10">
      <c r="A67" t="s">
        <v>3703</v>
      </c>
      <c r="B67" t="s">
        <v>1121</v>
      </c>
      <c r="C67" s="2" t="s">
        <v>1702</v>
      </c>
      <c r="E67">
        <v>26917.97</v>
      </c>
      <c r="I67" t="s">
        <v>3772</v>
      </c>
      <c r="J67" t="s">
        <v>3705</v>
      </c>
    </row>
    <row r="68" spans="1:10">
      <c r="A68" t="s">
        <v>3703</v>
      </c>
      <c r="B68" t="s">
        <v>1121</v>
      </c>
      <c r="C68" s="2" t="s">
        <v>720</v>
      </c>
      <c r="E68">
        <v>27274.11</v>
      </c>
      <c r="I68" t="s">
        <v>3773</v>
      </c>
      <c r="J68" t="s">
        <v>3705</v>
      </c>
    </row>
    <row r="69" spans="1:10">
      <c r="A69" t="s">
        <v>3703</v>
      </c>
      <c r="B69" t="s">
        <v>3774</v>
      </c>
      <c r="C69" s="2" t="s">
        <v>251</v>
      </c>
      <c r="E69">
        <v>26950.98</v>
      </c>
      <c r="I69" t="s">
        <v>3775</v>
      </c>
      <c r="J69" t="s">
        <v>3705</v>
      </c>
    </row>
    <row r="70" spans="1:10">
      <c r="A70" t="s">
        <v>3703</v>
      </c>
      <c r="B70" t="s">
        <v>3774</v>
      </c>
      <c r="C70" s="2" t="s">
        <v>249</v>
      </c>
      <c r="E70">
        <v>27517.24</v>
      </c>
      <c r="I70" t="s">
        <v>3776</v>
      </c>
      <c r="J70" t="s">
        <v>3705</v>
      </c>
    </row>
    <row r="71" spans="1:10">
      <c r="A71" t="s">
        <v>3777</v>
      </c>
      <c r="B71" t="s">
        <v>1475</v>
      </c>
      <c r="C71" s="2" t="s">
        <v>252</v>
      </c>
      <c r="E71">
        <v>27369.79</v>
      </c>
      <c r="H71">
        <v>1.53</v>
      </c>
      <c r="I71" t="s">
        <v>3778</v>
      </c>
      <c r="J71" t="s">
        <v>3705</v>
      </c>
    </row>
    <row r="72" spans="1:10">
      <c r="A72" t="s">
        <v>3777</v>
      </c>
      <c r="B72" t="s">
        <v>1475</v>
      </c>
      <c r="C72" s="2" t="s">
        <v>251</v>
      </c>
      <c r="E72">
        <v>27660.1</v>
      </c>
      <c r="H72">
        <v>1.57</v>
      </c>
      <c r="I72" t="s">
        <v>3779</v>
      </c>
      <c r="J72" t="s">
        <v>3705</v>
      </c>
    </row>
    <row r="73" spans="1:10">
      <c r="A73" t="s">
        <v>3777</v>
      </c>
      <c r="B73" t="s">
        <v>1475</v>
      </c>
      <c r="C73" s="2" t="s">
        <v>249</v>
      </c>
      <c r="E73">
        <v>27940.73</v>
      </c>
      <c r="H73">
        <v>1.64</v>
      </c>
      <c r="I73" t="s">
        <v>3780</v>
      </c>
      <c r="J73" t="s">
        <v>3705</v>
      </c>
    </row>
    <row r="74" spans="1:10">
      <c r="A74" t="s">
        <v>3777</v>
      </c>
      <c r="B74" t="s">
        <v>1475</v>
      </c>
      <c r="C74" s="2" t="s">
        <v>250</v>
      </c>
      <c r="E74">
        <v>28151.279999999999</v>
      </c>
      <c r="H74">
        <v>1.85</v>
      </c>
      <c r="I74" t="s">
        <v>3780</v>
      </c>
      <c r="J74" t="s">
        <v>3705</v>
      </c>
    </row>
    <row r="75" spans="1:10">
      <c r="A75" t="s">
        <v>3777</v>
      </c>
      <c r="B75" t="s">
        <v>1475</v>
      </c>
      <c r="C75" s="2" t="s">
        <v>248</v>
      </c>
      <c r="E75">
        <v>28296.67</v>
      </c>
      <c r="H75">
        <v>3.3</v>
      </c>
      <c r="I75" t="s">
        <v>3781</v>
      </c>
      <c r="J75" t="s">
        <v>3705</v>
      </c>
    </row>
    <row r="76" spans="1:10">
      <c r="A76" t="s">
        <v>3715</v>
      </c>
      <c r="B76" t="s">
        <v>594</v>
      </c>
      <c r="C76" s="2" t="s">
        <v>252</v>
      </c>
      <c r="E76">
        <v>27971.360000000001</v>
      </c>
      <c r="I76" t="s">
        <v>3782</v>
      </c>
      <c r="J76" t="s">
        <v>3705</v>
      </c>
    </row>
    <row r="77" spans="1:10">
      <c r="A77" t="s">
        <v>3715</v>
      </c>
      <c r="B77" t="s">
        <v>594</v>
      </c>
      <c r="C77" s="2" t="s">
        <v>251</v>
      </c>
      <c r="E77">
        <v>29233.9</v>
      </c>
      <c r="I77" t="s">
        <v>3783</v>
      </c>
      <c r="J77" t="s">
        <v>3705</v>
      </c>
    </row>
    <row r="78" spans="1:10">
      <c r="A78" t="s">
        <v>3715</v>
      </c>
      <c r="B78" t="s">
        <v>645</v>
      </c>
      <c r="C78" s="2" t="s">
        <v>1702</v>
      </c>
      <c r="E78">
        <v>28839.4</v>
      </c>
      <c r="I78" t="s">
        <v>3784</v>
      </c>
      <c r="J78" t="s">
        <v>3705</v>
      </c>
    </row>
    <row r="79" spans="1:10">
      <c r="A79" t="s">
        <v>3715</v>
      </c>
      <c r="B79" t="s">
        <v>645</v>
      </c>
      <c r="C79" s="2" t="s">
        <v>252</v>
      </c>
      <c r="E79">
        <v>29539</v>
      </c>
      <c r="I79" t="s">
        <v>3785</v>
      </c>
      <c r="J79" t="s">
        <v>3705</v>
      </c>
    </row>
    <row r="80" spans="1:10">
      <c r="A80" t="s">
        <v>3703</v>
      </c>
      <c r="B80" t="s">
        <v>576</v>
      </c>
      <c r="C80" s="2" t="s">
        <v>249</v>
      </c>
      <c r="E80">
        <v>30060.66</v>
      </c>
      <c r="I80" t="s">
        <v>3786</v>
      </c>
      <c r="J80" t="s">
        <v>3705</v>
      </c>
    </row>
    <row r="81" spans="1:10">
      <c r="A81" t="s">
        <v>3777</v>
      </c>
      <c r="B81" t="s">
        <v>1453</v>
      </c>
      <c r="C81" s="2" t="s">
        <v>1702</v>
      </c>
      <c r="E81">
        <v>30067.29</v>
      </c>
      <c r="H81">
        <v>1.5</v>
      </c>
      <c r="I81" t="s">
        <v>3787</v>
      </c>
      <c r="J81" t="s">
        <v>3705</v>
      </c>
    </row>
    <row r="82" spans="1:10">
      <c r="A82" t="s">
        <v>3777</v>
      </c>
      <c r="B82" t="s">
        <v>1453</v>
      </c>
      <c r="C82" s="2" t="s">
        <v>252</v>
      </c>
      <c r="E82">
        <v>30133.26</v>
      </c>
      <c r="H82">
        <v>1.41</v>
      </c>
      <c r="I82" t="s">
        <v>3788</v>
      </c>
      <c r="J82" t="s">
        <v>3705</v>
      </c>
    </row>
    <row r="83" spans="1:10">
      <c r="A83" t="s">
        <v>3777</v>
      </c>
      <c r="B83" t="s">
        <v>1453</v>
      </c>
      <c r="C83" s="2" t="s">
        <v>251</v>
      </c>
      <c r="E83">
        <v>30382.06</v>
      </c>
      <c r="H83">
        <v>1.38</v>
      </c>
      <c r="I83" t="s">
        <v>3789</v>
      </c>
      <c r="J83" t="s">
        <v>3705</v>
      </c>
    </row>
    <row r="84" spans="1:10">
      <c r="A84" t="s">
        <v>3777</v>
      </c>
      <c r="B84" t="s">
        <v>1453</v>
      </c>
      <c r="C84" s="2" t="s">
        <v>249</v>
      </c>
      <c r="E84">
        <v>30528.86</v>
      </c>
      <c r="H84">
        <v>1.29</v>
      </c>
      <c r="I84" t="s">
        <v>3790</v>
      </c>
      <c r="J84" t="s">
        <v>3705</v>
      </c>
    </row>
    <row r="85" spans="1:10">
      <c r="A85" t="s">
        <v>3777</v>
      </c>
      <c r="B85" t="s">
        <v>1453</v>
      </c>
      <c r="C85" s="2" t="s">
        <v>250</v>
      </c>
      <c r="E85">
        <v>30630.62</v>
      </c>
      <c r="H85">
        <v>1.07</v>
      </c>
      <c r="I85" t="s">
        <v>3791</v>
      </c>
      <c r="J85" t="s">
        <v>3705</v>
      </c>
    </row>
    <row r="86" spans="1:10">
      <c r="A86" t="s">
        <v>3777</v>
      </c>
      <c r="B86" t="s">
        <v>1453</v>
      </c>
      <c r="C86" s="2" t="s">
        <v>248</v>
      </c>
      <c r="E86">
        <v>30689.119999999999</v>
      </c>
      <c r="H86">
        <v>-0.62</v>
      </c>
      <c r="I86" t="s">
        <v>3792</v>
      </c>
      <c r="J86" t="s">
        <v>3705</v>
      </c>
    </row>
    <row r="87" spans="1:10">
      <c r="A87" t="s">
        <v>3777</v>
      </c>
      <c r="B87" t="s">
        <v>214</v>
      </c>
      <c r="C87" s="2" t="s">
        <v>252</v>
      </c>
      <c r="E87">
        <v>31114.080000000002</v>
      </c>
      <c r="H87">
        <v>1.37</v>
      </c>
      <c r="I87" t="s">
        <v>3793</v>
      </c>
      <c r="J87" t="s">
        <v>3705</v>
      </c>
    </row>
    <row r="88" spans="1:10">
      <c r="A88" t="s">
        <v>3777</v>
      </c>
      <c r="B88" t="s">
        <v>214</v>
      </c>
      <c r="C88" s="2" t="s">
        <v>251</v>
      </c>
      <c r="E88">
        <v>31605</v>
      </c>
      <c r="H88">
        <v>1.32</v>
      </c>
      <c r="I88" t="s">
        <v>3794</v>
      </c>
      <c r="J88" t="s">
        <v>3705</v>
      </c>
    </row>
    <row r="89" spans="1:10">
      <c r="A89" t="s">
        <v>3777</v>
      </c>
      <c r="B89" t="s">
        <v>214</v>
      </c>
      <c r="C89" s="2" t="s">
        <v>249</v>
      </c>
      <c r="E89">
        <v>32014.81</v>
      </c>
      <c r="H89">
        <v>1.1399999999999999</v>
      </c>
      <c r="I89" t="s">
        <v>3795</v>
      </c>
      <c r="J89" t="s">
        <v>3705</v>
      </c>
    </row>
    <row r="90" spans="1:10">
      <c r="A90" t="s">
        <v>3777</v>
      </c>
      <c r="B90" t="s">
        <v>214</v>
      </c>
      <c r="C90" s="2" t="s">
        <v>250</v>
      </c>
      <c r="E90">
        <v>32253.65</v>
      </c>
      <c r="H90">
        <v>0.85</v>
      </c>
      <c r="I90" t="s">
        <v>3796</v>
      </c>
      <c r="J90" t="s">
        <v>3705</v>
      </c>
    </row>
    <row r="91" spans="1:10">
      <c r="A91" t="s">
        <v>3797</v>
      </c>
      <c r="B91" t="s">
        <v>1481</v>
      </c>
      <c r="C91" s="2" t="s">
        <v>249</v>
      </c>
      <c r="E91">
        <v>31406.74</v>
      </c>
      <c r="H91">
        <v>1.8</v>
      </c>
      <c r="I91" t="s">
        <v>3798</v>
      </c>
      <c r="J91" t="s">
        <v>3705</v>
      </c>
    </row>
    <row r="92" spans="1:10">
      <c r="A92" t="s">
        <v>3797</v>
      </c>
      <c r="B92" t="s">
        <v>1481</v>
      </c>
      <c r="C92" s="2" t="s">
        <v>250</v>
      </c>
      <c r="E92">
        <v>31503.93</v>
      </c>
      <c r="H92">
        <v>2.2599999999999998</v>
      </c>
      <c r="I92" t="s">
        <v>3799</v>
      </c>
      <c r="J92" t="s">
        <v>3705</v>
      </c>
    </row>
    <row r="93" spans="1:10">
      <c r="A93" t="s">
        <v>3797</v>
      </c>
      <c r="B93" t="s">
        <v>1481</v>
      </c>
      <c r="C93" s="2" t="s">
        <v>251</v>
      </c>
      <c r="E93">
        <v>38240.730000000003</v>
      </c>
      <c r="H93">
        <v>1.66</v>
      </c>
      <c r="I93" t="s">
        <v>3800</v>
      </c>
      <c r="J93" t="s">
        <v>3705</v>
      </c>
    </row>
    <row r="94" spans="1:10">
      <c r="A94" t="s">
        <v>3777</v>
      </c>
      <c r="B94" t="s">
        <v>1481</v>
      </c>
      <c r="C94" s="2" t="s">
        <v>251</v>
      </c>
      <c r="E94">
        <v>31414.05</v>
      </c>
      <c r="H94">
        <v>1.72</v>
      </c>
      <c r="I94" t="s">
        <v>3801</v>
      </c>
      <c r="J94" t="s">
        <v>3705</v>
      </c>
    </row>
    <row r="95" spans="1:10">
      <c r="A95" t="s">
        <v>3777</v>
      </c>
      <c r="B95" t="s">
        <v>1481</v>
      </c>
      <c r="C95" s="2" t="s">
        <v>249</v>
      </c>
      <c r="E95">
        <v>38216.75</v>
      </c>
      <c r="H95">
        <v>1.89</v>
      </c>
      <c r="I95" t="s">
        <v>3802</v>
      </c>
      <c r="J95" t="s">
        <v>3705</v>
      </c>
    </row>
    <row r="96" spans="1:10">
      <c r="A96" t="s">
        <v>3777</v>
      </c>
      <c r="B96" t="s">
        <v>1481</v>
      </c>
      <c r="C96" s="2" t="s">
        <v>250</v>
      </c>
      <c r="E96">
        <v>38556.71</v>
      </c>
      <c r="I96" t="s">
        <v>3803</v>
      </c>
      <c r="J96" t="s">
        <v>3705</v>
      </c>
    </row>
    <row r="97" spans="1:10">
      <c r="A97" t="s">
        <v>3777</v>
      </c>
      <c r="B97" t="s">
        <v>213</v>
      </c>
      <c r="C97" s="2" t="s">
        <v>249</v>
      </c>
      <c r="E97">
        <v>31927.01</v>
      </c>
      <c r="H97">
        <v>1.59</v>
      </c>
      <c r="I97" t="s">
        <v>3804</v>
      </c>
      <c r="J97" t="s">
        <v>3705</v>
      </c>
    </row>
    <row r="98" spans="1:10">
      <c r="A98" t="s">
        <v>3777</v>
      </c>
      <c r="B98" t="s">
        <v>213</v>
      </c>
      <c r="C98" s="2" t="s">
        <v>250</v>
      </c>
      <c r="E98">
        <v>32258.06</v>
      </c>
      <c r="H98">
        <v>1.4</v>
      </c>
      <c r="I98" t="s">
        <v>3805</v>
      </c>
      <c r="J98" t="s">
        <v>3705</v>
      </c>
    </row>
    <row r="99" spans="1:10">
      <c r="A99" t="s">
        <v>3777</v>
      </c>
      <c r="B99" t="s">
        <v>213</v>
      </c>
      <c r="C99" s="2" t="s">
        <v>248</v>
      </c>
      <c r="E99">
        <v>32403.06</v>
      </c>
      <c r="H99">
        <v>2.65</v>
      </c>
      <c r="I99" t="s">
        <v>3806</v>
      </c>
      <c r="J99" t="s">
        <v>3705</v>
      </c>
    </row>
    <row r="100" spans="1:10">
      <c r="A100" t="s">
        <v>3777</v>
      </c>
      <c r="B100" t="s">
        <v>216</v>
      </c>
      <c r="C100" s="2" t="s">
        <v>251</v>
      </c>
      <c r="E100">
        <v>32620.38</v>
      </c>
      <c r="H100">
        <v>1.39</v>
      </c>
      <c r="I100" t="s">
        <v>3807</v>
      </c>
      <c r="J100" t="s">
        <v>3705</v>
      </c>
    </row>
    <row r="101" spans="1:10">
      <c r="A101" t="s">
        <v>3777</v>
      </c>
      <c r="B101" t="s">
        <v>216</v>
      </c>
      <c r="C101" s="2" t="s">
        <v>249</v>
      </c>
      <c r="E101">
        <v>33085.69</v>
      </c>
      <c r="H101">
        <v>1.39</v>
      </c>
      <c r="I101">
        <v>75</v>
      </c>
      <c r="J101" t="s">
        <v>3705</v>
      </c>
    </row>
    <row r="102" spans="1:10">
      <c r="A102" t="s">
        <v>3777</v>
      </c>
      <c r="B102" t="s">
        <v>216</v>
      </c>
      <c r="C102" s="2" t="s">
        <v>250</v>
      </c>
      <c r="E102">
        <v>33343.18</v>
      </c>
      <c r="H102">
        <v>1.2</v>
      </c>
      <c r="I102">
        <v>80</v>
      </c>
      <c r="J102" t="s">
        <v>3705</v>
      </c>
    </row>
    <row r="103" spans="1:10">
      <c r="A103" t="s">
        <v>3777</v>
      </c>
      <c r="B103" t="s">
        <v>216</v>
      </c>
      <c r="C103" s="2" t="s">
        <v>248</v>
      </c>
      <c r="E103">
        <v>33480.47</v>
      </c>
      <c r="H103">
        <v>0.02</v>
      </c>
      <c r="I103">
        <v>82</v>
      </c>
      <c r="J103" t="s">
        <v>3705</v>
      </c>
    </row>
    <row r="104" spans="1:10">
      <c r="A104" t="s">
        <v>3797</v>
      </c>
      <c r="B104" t="s">
        <v>213</v>
      </c>
      <c r="C104" s="2" t="s">
        <v>249</v>
      </c>
      <c r="E104">
        <v>34515.879999999997</v>
      </c>
      <c r="H104">
        <v>1.61</v>
      </c>
      <c r="I104" t="s">
        <v>3808</v>
      </c>
      <c r="J104" t="s">
        <v>3705</v>
      </c>
    </row>
    <row r="105" spans="1:10">
      <c r="A105" t="s">
        <v>3797</v>
      </c>
      <c r="B105" t="s">
        <v>213</v>
      </c>
      <c r="C105" s="2" t="s">
        <v>250</v>
      </c>
      <c r="E105">
        <v>34942.639999999999</v>
      </c>
      <c r="H105">
        <v>1.74</v>
      </c>
      <c r="I105" t="s">
        <v>3809</v>
      </c>
      <c r="J105" t="s">
        <v>3705</v>
      </c>
    </row>
    <row r="106" spans="1:10">
      <c r="A106" t="s">
        <v>3797</v>
      </c>
      <c r="B106" t="s">
        <v>213</v>
      </c>
      <c r="C106" s="2" t="s">
        <v>248</v>
      </c>
      <c r="E106">
        <v>35276.449999999997</v>
      </c>
      <c r="H106">
        <v>2.66</v>
      </c>
      <c r="I106" t="s">
        <v>3810</v>
      </c>
      <c r="J106" t="s">
        <v>3705</v>
      </c>
    </row>
    <row r="107" spans="1:10">
      <c r="A107" t="s">
        <v>3811</v>
      </c>
      <c r="B107" t="s">
        <v>2173</v>
      </c>
      <c r="C107" s="2" t="s">
        <v>251</v>
      </c>
      <c r="E107">
        <v>37612.400000000001</v>
      </c>
      <c r="H107">
        <v>2.02</v>
      </c>
      <c r="I107" t="s">
        <v>816</v>
      </c>
      <c r="J107" t="s">
        <v>3761</v>
      </c>
    </row>
    <row r="108" spans="1:10">
      <c r="A108" t="s">
        <v>3812</v>
      </c>
      <c r="B108" t="s">
        <v>1475</v>
      </c>
      <c r="C108" s="2" t="s">
        <v>250</v>
      </c>
      <c r="E108">
        <v>38319.599999999999</v>
      </c>
      <c r="H108">
        <v>2.35</v>
      </c>
      <c r="I108" t="s">
        <v>3813</v>
      </c>
      <c r="J108" t="s">
        <v>3705</v>
      </c>
    </row>
    <row r="109" spans="1:10">
      <c r="A109" t="s">
        <v>3812</v>
      </c>
      <c r="B109" t="s">
        <v>1475</v>
      </c>
      <c r="C109" s="2" t="s">
        <v>249</v>
      </c>
      <c r="E109">
        <v>38600.58</v>
      </c>
      <c r="I109" t="s">
        <v>3814</v>
      </c>
      <c r="J109" t="s">
        <v>3705</v>
      </c>
    </row>
    <row r="110" spans="1:10">
      <c r="A110" t="s">
        <v>3812</v>
      </c>
      <c r="B110" t="s">
        <v>1475</v>
      </c>
      <c r="C110" s="2" t="s">
        <v>251</v>
      </c>
      <c r="E110">
        <v>38766.199999999997</v>
      </c>
      <c r="I110" t="s">
        <v>3815</v>
      </c>
      <c r="J110" t="s">
        <v>3705</v>
      </c>
    </row>
    <row r="111" spans="1:10">
      <c r="A111" t="s">
        <v>3812</v>
      </c>
      <c r="B111" t="s">
        <v>1475</v>
      </c>
      <c r="C111" s="2" t="s">
        <v>252</v>
      </c>
      <c r="E111">
        <v>39185.01</v>
      </c>
      <c r="I111" t="s">
        <v>3816</v>
      </c>
      <c r="J111" t="s">
        <v>3705</v>
      </c>
    </row>
    <row r="112" spans="1:10">
      <c r="A112" t="s">
        <v>3817</v>
      </c>
      <c r="B112" t="s">
        <v>1453</v>
      </c>
      <c r="C112" s="2" t="s">
        <v>1702</v>
      </c>
      <c r="E112">
        <v>39236.519999999997</v>
      </c>
      <c r="I112" t="s">
        <v>3818</v>
      </c>
      <c r="J112" t="s">
        <v>3819</v>
      </c>
    </row>
    <row r="113" spans="1:10">
      <c r="A113" t="s">
        <v>3817</v>
      </c>
      <c r="B113" t="s">
        <v>1453</v>
      </c>
      <c r="C113" s="2" t="s">
        <v>252</v>
      </c>
      <c r="E113">
        <v>39763.379999999997</v>
      </c>
      <c r="I113" t="s">
        <v>3820</v>
      </c>
      <c r="J113" t="s">
        <v>3705</v>
      </c>
    </row>
    <row r="114" spans="1:10">
      <c r="A114" t="s">
        <v>3817</v>
      </c>
      <c r="B114" t="s">
        <v>1453</v>
      </c>
      <c r="C114" s="2" t="s">
        <v>251</v>
      </c>
      <c r="E114">
        <v>39831.599999999999</v>
      </c>
      <c r="I114" t="s">
        <v>3821</v>
      </c>
      <c r="J114" t="s">
        <v>3819</v>
      </c>
    </row>
    <row r="115" spans="1:10">
      <c r="A115" t="s">
        <v>3817</v>
      </c>
      <c r="B115" t="s">
        <v>1453</v>
      </c>
      <c r="C115" s="2" t="s">
        <v>250</v>
      </c>
      <c r="E115">
        <v>39844.019999999997</v>
      </c>
      <c r="I115" t="s">
        <v>3822</v>
      </c>
      <c r="J115" t="s">
        <v>3705</v>
      </c>
    </row>
    <row r="116" spans="1:10">
      <c r="A116" t="s">
        <v>3817</v>
      </c>
      <c r="B116" t="s">
        <v>1453</v>
      </c>
      <c r="C116" s="2" t="s">
        <v>249</v>
      </c>
      <c r="E116">
        <v>39891.050000000003</v>
      </c>
      <c r="I116" t="s">
        <v>3823</v>
      </c>
      <c r="J116" t="s">
        <v>3705</v>
      </c>
    </row>
    <row r="117" spans="1:10">
      <c r="A117" t="s">
        <v>3812</v>
      </c>
      <c r="B117" t="s">
        <v>3824</v>
      </c>
      <c r="C117" s="2" t="s">
        <v>249</v>
      </c>
      <c r="E117">
        <v>39459.89</v>
      </c>
      <c r="I117" t="s">
        <v>3825</v>
      </c>
      <c r="J117" t="s">
        <v>3705</v>
      </c>
    </row>
    <row r="118" spans="1:10">
      <c r="A118" t="s">
        <v>3826</v>
      </c>
      <c r="B118" t="s">
        <v>214</v>
      </c>
      <c r="C118" s="2" t="s">
        <v>251</v>
      </c>
      <c r="E118">
        <v>39567.760000000002</v>
      </c>
      <c r="I118" t="s">
        <v>3827</v>
      </c>
      <c r="J118" t="s">
        <v>3705</v>
      </c>
    </row>
    <row r="119" spans="1:10">
      <c r="A119" t="s">
        <v>3826</v>
      </c>
      <c r="B119" t="s">
        <v>214</v>
      </c>
      <c r="C119" s="2" t="s">
        <v>249</v>
      </c>
      <c r="E119">
        <v>44241.57</v>
      </c>
      <c r="I119" t="s">
        <v>3828</v>
      </c>
      <c r="J119" t="s">
        <v>3705</v>
      </c>
    </row>
    <row r="120" spans="1:10">
      <c r="A120" t="s">
        <v>3829</v>
      </c>
      <c r="B120" t="s">
        <v>213</v>
      </c>
      <c r="C120" s="2" t="s">
        <v>250</v>
      </c>
      <c r="E120">
        <v>39576.54</v>
      </c>
      <c r="I120" t="s">
        <v>3830</v>
      </c>
      <c r="J120" t="s">
        <v>3705</v>
      </c>
    </row>
    <row r="121" spans="1:10">
      <c r="A121" t="s">
        <v>3811</v>
      </c>
      <c r="B121" t="s">
        <v>2177</v>
      </c>
      <c r="C121" s="2" t="s">
        <v>249</v>
      </c>
      <c r="E121">
        <v>39598.86</v>
      </c>
      <c r="H121">
        <v>2</v>
      </c>
      <c r="I121" t="s">
        <v>816</v>
      </c>
      <c r="J121" t="s">
        <v>3761</v>
      </c>
    </row>
    <row r="122" spans="1:10">
      <c r="A122" t="s">
        <v>3831</v>
      </c>
      <c r="B122" t="s">
        <v>214</v>
      </c>
      <c r="C122" s="2" t="s">
        <v>249</v>
      </c>
      <c r="E122">
        <v>39977.39</v>
      </c>
      <c r="I122" t="s">
        <v>3832</v>
      </c>
      <c r="J122" t="s">
        <v>3705</v>
      </c>
    </row>
    <row r="123" spans="1:10">
      <c r="A123" t="s">
        <v>3817</v>
      </c>
      <c r="B123" t="s">
        <v>214</v>
      </c>
      <c r="C123" s="2" t="s">
        <v>250</v>
      </c>
      <c r="E123">
        <v>40096.61</v>
      </c>
      <c r="I123" t="s">
        <v>3833</v>
      </c>
      <c r="J123" t="s">
        <v>3705</v>
      </c>
    </row>
    <row r="124" spans="1:10">
      <c r="A124" t="s">
        <v>3817</v>
      </c>
      <c r="B124" t="s">
        <v>214</v>
      </c>
      <c r="C124" s="2" t="s">
        <v>249</v>
      </c>
      <c r="E124">
        <v>40299.14</v>
      </c>
      <c r="I124" t="s">
        <v>3834</v>
      </c>
      <c r="J124" t="s">
        <v>3705</v>
      </c>
    </row>
    <row r="125" spans="1:10">
      <c r="A125" t="s">
        <v>3817</v>
      </c>
      <c r="B125" t="s">
        <v>2603</v>
      </c>
      <c r="C125" s="2" t="s">
        <v>251</v>
      </c>
      <c r="E125">
        <v>40236.26</v>
      </c>
      <c r="I125" t="s">
        <v>3835</v>
      </c>
      <c r="J125" t="s">
        <v>3705</v>
      </c>
    </row>
    <row r="126" spans="1:10">
      <c r="A126" t="s">
        <v>3817</v>
      </c>
      <c r="B126" t="s">
        <v>2603</v>
      </c>
      <c r="C126" s="2" t="s">
        <v>1702</v>
      </c>
      <c r="E126">
        <v>40241.58</v>
      </c>
      <c r="I126" t="s">
        <v>3836</v>
      </c>
      <c r="J126" t="s">
        <v>3705</v>
      </c>
    </row>
    <row r="127" spans="1:10">
      <c r="A127" t="s">
        <v>3817</v>
      </c>
      <c r="B127" t="s">
        <v>2603</v>
      </c>
      <c r="C127" s="2" t="s">
        <v>252</v>
      </c>
      <c r="E127">
        <v>40403.19</v>
      </c>
      <c r="I127" t="s">
        <v>3837</v>
      </c>
      <c r="J127" t="s">
        <v>3705</v>
      </c>
    </row>
    <row r="128" spans="1:10">
      <c r="A128" t="s">
        <v>3817</v>
      </c>
      <c r="B128" t="s">
        <v>2603</v>
      </c>
      <c r="C128" s="2" t="s">
        <v>720</v>
      </c>
      <c r="E128">
        <v>40529.4</v>
      </c>
      <c r="I128" t="s">
        <v>3838</v>
      </c>
      <c r="J128" t="s">
        <v>3819</v>
      </c>
    </row>
    <row r="129" spans="1:10">
      <c r="A129" t="s">
        <v>3839</v>
      </c>
      <c r="B129" t="s">
        <v>1481</v>
      </c>
      <c r="C129" s="2" t="s">
        <v>251</v>
      </c>
      <c r="E129">
        <v>40406.400000000001</v>
      </c>
      <c r="I129" t="s">
        <v>3840</v>
      </c>
      <c r="J129" t="s">
        <v>3705</v>
      </c>
    </row>
    <row r="130" spans="1:10">
      <c r="A130" t="s">
        <v>3839</v>
      </c>
      <c r="B130" t="s">
        <v>1481</v>
      </c>
      <c r="C130" s="2" t="s">
        <v>249</v>
      </c>
      <c r="E130">
        <v>44872.37</v>
      </c>
      <c r="I130" t="s">
        <v>3841</v>
      </c>
      <c r="J130" t="s">
        <v>3705</v>
      </c>
    </row>
    <row r="131" spans="1:10">
      <c r="A131" t="s">
        <v>3829</v>
      </c>
      <c r="B131" t="s">
        <v>218</v>
      </c>
      <c r="C131" s="2" t="s">
        <v>249</v>
      </c>
      <c r="E131">
        <v>40821.29</v>
      </c>
      <c r="I131" t="s">
        <v>3842</v>
      </c>
      <c r="J131" t="s">
        <v>3705</v>
      </c>
    </row>
    <row r="132" spans="1:10">
      <c r="A132" t="s">
        <v>3829</v>
      </c>
      <c r="B132" t="s">
        <v>218</v>
      </c>
      <c r="C132" s="2" t="s">
        <v>250</v>
      </c>
      <c r="E132">
        <v>43558.99</v>
      </c>
      <c r="I132" t="s">
        <v>3843</v>
      </c>
      <c r="J132" t="s">
        <v>3819</v>
      </c>
    </row>
    <row r="133" spans="1:10">
      <c r="A133" t="s">
        <v>3844</v>
      </c>
      <c r="B133" t="s">
        <v>216</v>
      </c>
      <c r="C133" s="2" t="s">
        <v>248</v>
      </c>
      <c r="E133">
        <v>40829.39</v>
      </c>
      <c r="I133" t="s">
        <v>3845</v>
      </c>
      <c r="J133" t="s">
        <v>3705</v>
      </c>
    </row>
    <row r="134" spans="1:10">
      <c r="A134" t="s">
        <v>3844</v>
      </c>
      <c r="B134" t="s">
        <v>216</v>
      </c>
      <c r="C134" s="2" t="s">
        <v>250</v>
      </c>
      <c r="E134">
        <v>42217.33</v>
      </c>
      <c r="I134" t="s">
        <v>3846</v>
      </c>
      <c r="J134" t="s">
        <v>3705</v>
      </c>
    </row>
    <row r="135" spans="1:10">
      <c r="A135" t="s">
        <v>3829</v>
      </c>
      <c r="B135" t="s">
        <v>633</v>
      </c>
      <c r="C135" s="2" t="s">
        <v>250</v>
      </c>
      <c r="E135">
        <v>41073.160000000003</v>
      </c>
      <c r="I135" t="s">
        <v>3847</v>
      </c>
      <c r="J135" t="s">
        <v>3705</v>
      </c>
    </row>
    <row r="136" spans="1:10">
      <c r="A136" t="s">
        <v>3848</v>
      </c>
      <c r="B136" t="s">
        <v>609</v>
      </c>
      <c r="C136" s="2" t="s">
        <v>251</v>
      </c>
      <c r="E136">
        <v>41088.5</v>
      </c>
      <c r="I136" t="s">
        <v>3849</v>
      </c>
      <c r="J136" t="s">
        <v>3705</v>
      </c>
    </row>
    <row r="137" spans="1:10">
      <c r="A137" t="s">
        <v>3848</v>
      </c>
      <c r="B137" t="s">
        <v>609</v>
      </c>
      <c r="C137" s="2" t="s">
        <v>252</v>
      </c>
      <c r="E137">
        <v>41703.589999999997</v>
      </c>
      <c r="I137" t="s">
        <v>3850</v>
      </c>
      <c r="J137" t="s">
        <v>3705</v>
      </c>
    </row>
    <row r="138" spans="1:10">
      <c r="A138" t="s">
        <v>3812</v>
      </c>
      <c r="B138" t="s">
        <v>1481</v>
      </c>
      <c r="C138" s="2" t="s">
        <v>249</v>
      </c>
      <c r="E138">
        <v>41100.21</v>
      </c>
      <c r="I138" t="s">
        <v>3851</v>
      </c>
      <c r="J138" t="s">
        <v>3705</v>
      </c>
    </row>
    <row r="139" spans="1:10">
      <c r="A139" t="s">
        <v>3812</v>
      </c>
      <c r="B139" t="s">
        <v>1481</v>
      </c>
      <c r="C139" s="2" t="s">
        <v>250</v>
      </c>
      <c r="E139">
        <v>41788.769999999997</v>
      </c>
      <c r="I139" t="s">
        <v>3852</v>
      </c>
      <c r="J139" t="s">
        <v>3705</v>
      </c>
    </row>
    <row r="140" spans="1:10">
      <c r="A140" t="s">
        <v>3812</v>
      </c>
      <c r="B140" t="s">
        <v>1481</v>
      </c>
      <c r="C140" s="2" t="s">
        <v>251</v>
      </c>
      <c r="E140">
        <v>44687.199999999997</v>
      </c>
      <c r="I140" t="s">
        <v>3853</v>
      </c>
      <c r="J140" t="s">
        <v>3705</v>
      </c>
    </row>
    <row r="141" spans="1:10">
      <c r="A141" t="s">
        <v>3844</v>
      </c>
      <c r="B141" t="s">
        <v>214</v>
      </c>
      <c r="C141" s="2" t="s">
        <v>250</v>
      </c>
      <c r="E141">
        <v>41250.9</v>
      </c>
      <c r="I141" t="s">
        <v>3854</v>
      </c>
      <c r="J141" t="s">
        <v>3705</v>
      </c>
    </row>
    <row r="142" spans="1:10">
      <c r="A142" t="s">
        <v>3844</v>
      </c>
      <c r="B142" t="s">
        <v>214</v>
      </c>
      <c r="C142" s="2" t="s">
        <v>249</v>
      </c>
      <c r="E142">
        <v>42102.82</v>
      </c>
      <c r="I142" t="s">
        <v>3855</v>
      </c>
      <c r="J142" t="s">
        <v>3705</v>
      </c>
    </row>
    <row r="143" spans="1:10">
      <c r="A143" t="s">
        <v>3844</v>
      </c>
      <c r="B143" t="s">
        <v>214</v>
      </c>
      <c r="C143" s="2" t="s">
        <v>251</v>
      </c>
      <c r="E143">
        <v>42523.12</v>
      </c>
      <c r="I143" t="s">
        <v>3856</v>
      </c>
      <c r="J143" t="s">
        <v>3705</v>
      </c>
    </row>
    <row r="144" spans="1:10">
      <c r="A144" t="s">
        <v>3844</v>
      </c>
      <c r="B144" t="s">
        <v>214</v>
      </c>
      <c r="C144" s="2" t="s">
        <v>252</v>
      </c>
      <c r="E144">
        <v>43097.77</v>
      </c>
      <c r="I144" t="s">
        <v>3857</v>
      </c>
      <c r="J144" t="s">
        <v>3705</v>
      </c>
    </row>
    <row r="145" spans="1:10">
      <c r="A145" t="s">
        <v>3858</v>
      </c>
      <c r="B145" t="s">
        <v>216</v>
      </c>
      <c r="C145" s="2" t="s">
        <v>251</v>
      </c>
      <c r="E145">
        <v>41529.11</v>
      </c>
      <c r="I145" t="s">
        <v>3859</v>
      </c>
      <c r="J145" t="s">
        <v>3705</v>
      </c>
    </row>
    <row r="146" spans="1:10">
      <c r="A146" t="s">
        <v>3858</v>
      </c>
      <c r="B146" t="s">
        <v>216</v>
      </c>
      <c r="C146" s="2" t="s">
        <v>249</v>
      </c>
      <c r="E146">
        <v>42294.46</v>
      </c>
      <c r="I146" t="s">
        <v>3860</v>
      </c>
      <c r="J146" t="s">
        <v>3705</v>
      </c>
    </row>
    <row r="147" spans="1:10">
      <c r="A147" t="s">
        <v>3848</v>
      </c>
      <c r="B147" t="s">
        <v>606</v>
      </c>
      <c r="C147" s="2" t="s">
        <v>1702</v>
      </c>
      <c r="E147">
        <v>41580.75</v>
      </c>
      <c r="I147" t="s">
        <v>3861</v>
      </c>
      <c r="J147" t="s">
        <v>3705</v>
      </c>
    </row>
    <row r="148" spans="1:10">
      <c r="A148" t="s">
        <v>3848</v>
      </c>
      <c r="B148" t="s">
        <v>606</v>
      </c>
      <c r="C148" s="2" t="s">
        <v>252</v>
      </c>
      <c r="E148">
        <v>41896.99</v>
      </c>
      <c r="I148" t="s">
        <v>3862</v>
      </c>
      <c r="J148" t="s">
        <v>3705</v>
      </c>
    </row>
    <row r="149" spans="1:10">
      <c r="A149" t="s">
        <v>3848</v>
      </c>
      <c r="B149" t="s">
        <v>606</v>
      </c>
      <c r="C149" s="2" t="s">
        <v>249</v>
      </c>
      <c r="E149">
        <v>41922.68</v>
      </c>
      <c r="I149" t="s">
        <v>3863</v>
      </c>
      <c r="J149" t="s">
        <v>3705</v>
      </c>
    </row>
    <row r="150" spans="1:10">
      <c r="A150" t="s">
        <v>3848</v>
      </c>
      <c r="B150" t="s">
        <v>606</v>
      </c>
      <c r="C150" s="2" t="s">
        <v>251</v>
      </c>
      <c r="E150">
        <v>41993.08</v>
      </c>
      <c r="I150" t="s">
        <v>3864</v>
      </c>
      <c r="J150" t="s">
        <v>3705</v>
      </c>
    </row>
    <row r="151" spans="1:10">
      <c r="A151" t="s">
        <v>3839</v>
      </c>
      <c r="B151" t="s">
        <v>1453</v>
      </c>
      <c r="C151" s="2" t="s">
        <v>250</v>
      </c>
      <c r="E151">
        <v>41625.519999999997</v>
      </c>
      <c r="I151" t="s">
        <v>3865</v>
      </c>
      <c r="J151" t="s">
        <v>3705</v>
      </c>
    </row>
    <row r="152" spans="1:10">
      <c r="A152" t="s">
        <v>3839</v>
      </c>
      <c r="B152" t="s">
        <v>1453</v>
      </c>
      <c r="C152" s="2" t="s">
        <v>252</v>
      </c>
      <c r="E152">
        <v>42217.08</v>
      </c>
      <c r="I152" t="s">
        <v>3866</v>
      </c>
      <c r="J152" t="s">
        <v>3705</v>
      </c>
    </row>
    <row r="153" spans="1:10">
      <c r="A153" t="s">
        <v>3839</v>
      </c>
      <c r="B153" t="s">
        <v>1453</v>
      </c>
      <c r="C153" s="2" t="s">
        <v>251</v>
      </c>
      <c r="E153">
        <v>42246.21</v>
      </c>
      <c r="I153" t="s">
        <v>3867</v>
      </c>
      <c r="J153" t="s">
        <v>3705</v>
      </c>
    </row>
    <row r="154" spans="1:10">
      <c r="A154" t="s">
        <v>3839</v>
      </c>
      <c r="B154" t="s">
        <v>1453</v>
      </c>
      <c r="C154" s="2" t="s">
        <v>249</v>
      </c>
      <c r="E154">
        <v>42250.66</v>
      </c>
      <c r="I154" t="s">
        <v>3868</v>
      </c>
      <c r="J154" t="s">
        <v>3705</v>
      </c>
    </row>
    <row r="155" spans="1:10">
      <c r="A155" t="s">
        <v>3839</v>
      </c>
      <c r="B155" t="s">
        <v>1453</v>
      </c>
      <c r="C155" s="2" t="s">
        <v>1702</v>
      </c>
      <c r="E155">
        <v>42444.33</v>
      </c>
      <c r="I155" t="s">
        <v>3869</v>
      </c>
      <c r="J155" t="s">
        <v>3705</v>
      </c>
    </row>
    <row r="156" spans="1:10">
      <c r="A156" t="s">
        <v>3858</v>
      </c>
      <c r="B156" t="s">
        <v>606</v>
      </c>
      <c r="C156" s="2" t="s">
        <v>251</v>
      </c>
      <c r="E156">
        <v>41729.870000000003</v>
      </c>
      <c r="I156" t="s">
        <v>3870</v>
      </c>
      <c r="J156" t="s">
        <v>3705</v>
      </c>
    </row>
    <row r="157" spans="1:10">
      <c r="A157" t="s">
        <v>3858</v>
      </c>
      <c r="B157" t="s">
        <v>606</v>
      </c>
      <c r="C157" s="2" t="s">
        <v>249</v>
      </c>
      <c r="E157">
        <v>41764.26</v>
      </c>
      <c r="I157" t="s">
        <v>3871</v>
      </c>
      <c r="J157" t="s">
        <v>3705</v>
      </c>
    </row>
    <row r="158" spans="1:10">
      <c r="A158" t="s">
        <v>3858</v>
      </c>
      <c r="B158" t="s">
        <v>606</v>
      </c>
      <c r="C158" s="2" t="s">
        <v>1702</v>
      </c>
      <c r="E158">
        <v>42032.57</v>
      </c>
      <c r="I158" t="s">
        <v>3872</v>
      </c>
      <c r="J158" t="s">
        <v>3705</v>
      </c>
    </row>
    <row r="159" spans="1:10">
      <c r="A159" t="s">
        <v>3848</v>
      </c>
      <c r="B159" t="s">
        <v>1573</v>
      </c>
      <c r="C159" s="2" t="s">
        <v>720</v>
      </c>
      <c r="E159">
        <v>42474.75</v>
      </c>
      <c r="I159" t="s">
        <v>3873</v>
      </c>
      <c r="J159" t="s">
        <v>3705</v>
      </c>
    </row>
    <row r="160" spans="1:10">
      <c r="A160" t="s">
        <v>3848</v>
      </c>
      <c r="B160" t="s">
        <v>1573</v>
      </c>
      <c r="C160" s="2" t="s">
        <v>1702</v>
      </c>
      <c r="E160">
        <v>44138.17</v>
      </c>
      <c r="I160" t="s">
        <v>3874</v>
      </c>
      <c r="J160" t="s">
        <v>3705</v>
      </c>
    </row>
    <row r="161" spans="1:10">
      <c r="A161" t="s">
        <v>3826</v>
      </c>
      <c r="B161" t="s">
        <v>606</v>
      </c>
      <c r="C161" s="2" t="s">
        <v>252</v>
      </c>
      <c r="E161">
        <v>42545.01</v>
      </c>
      <c r="I161" t="s">
        <v>3875</v>
      </c>
      <c r="J161" t="s">
        <v>3705</v>
      </c>
    </row>
    <row r="162" spans="1:10">
      <c r="A162" t="s">
        <v>3826</v>
      </c>
      <c r="B162" t="s">
        <v>606</v>
      </c>
      <c r="C162" s="2" t="s">
        <v>249</v>
      </c>
      <c r="E162">
        <v>42696.45</v>
      </c>
      <c r="I162" t="s">
        <v>3876</v>
      </c>
      <c r="J162" t="s">
        <v>3705</v>
      </c>
    </row>
    <row r="163" spans="1:10">
      <c r="A163" t="s">
        <v>3826</v>
      </c>
      <c r="B163" t="s">
        <v>606</v>
      </c>
      <c r="C163" s="2" t="s">
        <v>251</v>
      </c>
      <c r="E163">
        <v>42771.82</v>
      </c>
      <c r="I163" t="s">
        <v>3877</v>
      </c>
      <c r="J163" t="s">
        <v>3705</v>
      </c>
    </row>
    <row r="164" spans="1:10">
      <c r="A164" t="s">
        <v>3826</v>
      </c>
      <c r="B164" t="s">
        <v>644</v>
      </c>
      <c r="C164" s="2" t="s">
        <v>1702</v>
      </c>
      <c r="E164">
        <v>42600.59</v>
      </c>
      <c r="I164" t="s">
        <v>3878</v>
      </c>
      <c r="J164" t="s">
        <v>3705</v>
      </c>
    </row>
    <row r="165" spans="1:10">
      <c r="A165" t="s">
        <v>3826</v>
      </c>
      <c r="B165" t="s">
        <v>644</v>
      </c>
      <c r="C165" s="2" t="s">
        <v>252</v>
      </c>
      <c r="E165">
        <v>42613.9</v>
      </c>
      <c r="I165" t="s">
        <v>3879</v>
      </c>
      <c r="J165" t="s">
        <v>3705</v>
      </c>
    </row>
    <row r="166" spans="1:10">
      <c r="B166" t="s">
        <v>2622</v>
      </c>
      <c r="C166" s="2" t="s">
        <v>1702</v>
      </c>
      <c r="E166">
        <v>42773.99</v>
      </c>
      <c r="I166" t="s">
        <v>816</v>
      </c>
      <c r="J166" t="s">
        <v>3761</v>
      </c>
    </row>
    <row r="167" spans="1:10">
      <c r="A167" t="s">
        <v>3839</v>
      </c>
      <c r="B167" t="s">
        <v>1475</v>
      </c>
      <c r="C167" s="2" t="s">
        <v>252</v>
      </c>
      <c r="E167">
        <v>42817</v>
      </c>
      <c r="I167" t="s">
        <v>3880</v>
      </c>
      <c r="J167" t="s">
        <v>3705</v>
      </c>
    </row>
    <row r="168" spans="1:10">
      <c r="A168" t="s">
        <v>3839</v>
      </c>
      <c r="B168" t="s">
        <v>1475</v>
      </c>
      <c r="C168" s="2" t="s">
        <v>249</v>
      </c>
      <c r="E168">
        <v>43011.14</v>
      </c>
      <c r="I168" t="s">
        <v>3881</v>
      </c>
      <c r="J168" t="s">
        <v>3705</v>
      </c>
    </row>
    <row r="169" spans="1:10">
      <c r="A169" t="s">
        <v>3839</v>
      </c>
      <c r="B169" t="s">
        <v>1475</v>
      </c>
      <c r="C169" s="2" t="s">
        <v>251</v>
      </c>
      <c r="E169">
        <v>43267.16</v>
      </c>
      <c r="I169" t="s">
        <v>3882</v>
      </c>
      <c r="J169" t="s">
        <v>3705</v>
      </c>
    </row>
    <row r="170" spans="1:10">
      <c r="A170" t="s">
        <v>3839</v>
      </c>
      <c r="B170" t="s">
        <v>1475</v>
      </c>
      <c r="C170" s="2" t="s">
        <v>250</v>
      </c>
      <c r="E170">
        <v>43793.91</v>
      </c>
      <c r="I170" t="s">
        <v>3883</v>
      </c>
      <c r="J170" t="s">
        <v>3819</v>
      </c>
    </row>
    <row r="171" spans="1:10">
      <c r="A171" t="s">
        <v>3884</v>
      </c>
      <c r="B171" t="s">
        <v>1309</v>
      </c>
      <c r="C171" s="2" t="s">
        <v>252</v>
      </c>
      <c r="E171">
        <v>42855.24</v>
      </c>
      <c r="H171">
        <v>1.56</v>
      </c>
      <c r="I171" t="s">
        <v>816</v>
      </c>
      <c r="J171" t="s">
        <v>3761</v>
      </c>
    </row>
    <row r="172" spans="1:10">
      <c r="A172" t="s">
        <v>3884</v>
      </c>
      <c r="B172" t="s">
        <v>1309</v>
      </c>
      <c r="C172" s="2" t="s">
        <v>251</v>
      </c>
      <c r="E172">
        <v>43391.76</v>
      </c>
      <c r="H172">
        <v>1.57</v>
      </c>
      <c r="I172" t="s">
        <v>816</v>
      </c>
      <c r="J172" t="s">
        <v>3761</v>
      </c>
    </row>
    <row r="173" spans="1:10">
      <c r="A173" t="s">
        <v>3884</v>
      </c>
      <c r="B173" t="s">
        <v>1309</v>
      </c>
      <c r="C173" s="2" t="s">
        <v>249</v>
      </c>
      <c r="E173">
        <v>43796.7</v>
      </c>
      <c r="H173">
        <v>1.65</v>
      </c>
      <c r="I173" t="s">
        <v>816</v>
      </c>
      <c r="J173" t="s">
        <v>3761</v>
      </c>
    </row>
    <row r="174" spans="1:10">
      <c r="A174" t="s">
        <v>3884</v>
      </c>
      <c r="B174" t="s">
        <v>1309</v>
      </c>
      <c r="C174" s="2" t="s">
        <v>250</v>
      </c>
      <c r="E174">
        <v>44028.92</v>
      </c>
      <c r="H174">
        <v>1.87</v>
      </c>
      <c r="I174" t="s">
        <v>816</v>
      </c>
      <c r="J174" t="s">
        <v>3761</v>
      </c>
    </row>
    <row r="175" spans="1:10">
      <c r="A175" t="s">
        <v>3884</v>
      </c>
      <c r="B175" t="s">
        <v>1309</v>
      </c>
      <c r="C175" s="2" t="s">
        <v>248</v>
      </c>
      <c r="E175">
        <v>44149.5</v>
      </c>
      <c r="H175">
        <v>3.3</v>
      </c>
      <c r="I175" t="s">
        <v>816</v>
      </c>
      <c r="J175" t="s">
        <v>3761</v>
      </c>
    </row>
    <row r="176" spans="1:10">
      <c r="B176" t="s">
        <v>3596</v>
      </c>
      <c r="C176" s="2" t="s">
        <v>250</v>
      </c>
      <c r="E176">
        <v>42901.59</v>
      </c>
      <c r="I176" t="s">
        <v>816</v>
      </c>
      <c r="J176" t="s">
        <v>3705</v>
      </c>
    </row>
    <row r="177" spans="1:10">
      <c r="A177" t="s">
        <v>3839</v>
      </c>
      <c r="B177" t="s">
        <v>216</v>
      </c>
      <c r="C177" s="2" t="s">
        <v>249</v>
      </c>
      <c r="E177">
        <v>42905.599999999999</v>
      </c>
      <c r="I177" t="s">
        <v>3885</v>
      </c>
      <c r="J177" t="s">
        <v>3705</v>
      </c>
    </row>
    <row r="178" spans="1:10">
      <c r="A178" t="s">
        <v>3848</v>
      </c>
      <c r="B178" t="s">
        <v>3548</v>
      </c>
      <c r="C178" s="2" t="s">
        <v>1322</v>
      </c>
      <c r="E178">
        <v>42996.15</v>
      </c>
      <c r="I178">
        <v>94</v>
      </c>
      <c r="J178" t="s">
        <v>3819</v>
      </c>
    </row>
    <row r="179" spans="1:10">
      <c r="A179" t="s">
        <v>3848</v>
      </c>
      <c r="B179" t="s">
        <v>3548</v>
      </c>
      <c r="C179" s="2" t="s">
        <v>1702</v>
      </c>
      <c r="E179">
        <v>43172.19</v>
      </c>
      <c r="I179" t="s">
        <v>3886</v>
      </c>
      <c r="J179" t="s">
        <v>3705</v>
      </c>
    </row>
    <row r="180" spans="1:10">
      <c r="A180" t="s">
        <v>3848</v>
      </c>
      <c r="B180" t="s">
        <v>3548</v>
      </c>
      <c r="C180" s="2" t="s">
        <v>720</v>
      </c>
      <c r="E180">
        <v>43197.599999999999</v>
      </c>
      <c r="I180" t="s">
        <v>3887</v>
      </c>
      <c r="J180" t="s">
        <v>3705</v>
      </c>
    </row>
    <row r="181" spans="1:10">
      <c r="A181" t="s">
        <v>3848</v>
      </c>
      <c r="B181" t="s">
        <v>3548</v>
      </c>
      <c r="C181" s="2" t="s">
        <v>252</v>
      </c>
      <c r="E181">
        <v>43265.51</v>
      </c>
      <c r="I181" t="s">
        <v>3888</v>
      </c>
      <c r="J181" t="s">
        <v>3705</v>
      </c>
    </row>
    <row r="182" spans="1:10">
      <c r="A182" t="s">
        <v>3826</v>
      </c>
      <c r="B182" t="s">
        <v>219</v>
      </c>
      <c r="C182" s="2" t="s">
        <v>251</v>
      </c>
      <c r="E182">
        <v>43077.33</v>
      </c>
      <c r="I182" t="s">
        <v>3889</v>
      </c>
      <c r="J182" t="s">
        <v>3705</v>
      </c>
    </row>
    <row r="183" spans="1:10">
      <c r="A183" t="s">
        <v>3848</v>
      </c>
      <c r="B183" t="s">
        <v>2603</v>
      </c>
      <c r="C183" s="2" t="s">
        <v>1702</v>
      </c>
      <c r="E183">
        <v>43512.49</v>
      </c>
      <c r="I183" t="s">
        <v>3890</v>
      </c>
      <c r="J183" t="s">
        <v>3705</v>
      </c>
    </row>
    <row r="184" spans="1:10">
      <c r="A184" t="s">
        <v>3848</v>
      </c>
      <c r="B184" t="s">
        <v>2603</v>
      </c>
      <c r="C184" s="2" t="s">
        <v>720</v>
      </c>
      <c r="E184">
        <v>43857.24</v>
      </c>
      <c r="I184" t="s">
        <v>3891</v>
      </c>
      <c r="J184" t="s">
        <v>3705</v>
      </c>
    </row>
    <row r="185" spans="1:10">
      <c r="A185" t="s">
        <v>3848</v>
      </c>
      <c r="B185" t="s">
        <v>2603</v>
      </c>
      <c r="C185" s="2" t="s">
        <v>251</v>
      </c>
      <c r="E185">
        <v>43905.73</v>
      </c>
      <c r="I185" t="s">
        <v>3892</v>
      </c>
      <c r="J185" t="s">
        <v>3705</v>
      </c>
    </row>
    <row r="186" spans="1:10">
      <c r="A186" t="s">
        <v>3848</v>
      </c>
      <c r="B186" t="s">
        <v>2603</v>
      </c>
      <c r="C186" s="2" t="s">
        <v>252</v>
      </c>
      <c r="E186">
        <v>43971.81</v>
      </c>
      <c r="I186" t="s">
        <v>3893</v>
      </c>
      <c r="J186" t="s">
        <v>3705</v>
      </c>
    </row>
    <row r="187" spans="1:10">
      <c r="A187" t="s">
        <v>3858</v>
      </c>
      <c r="B187" t="s">
        <v>219</v>
      </c>
      <c r="C187" s="2" t="s">
        <v>249</v>
      </c>
      <c r="E187">
        <v>43546.5</v>
      </c>
      <c r="I187" t="s">
        <v>3894</v>
      </c>
      <c r="J187" t="s">
        <v>3705</v>
      </c>
    </row>
    <row r="188" spans="1:10">
      <c r="A188" t="s">
        <v>3858</v>
      </c>
      <c r="B188" t="s">
        <v>219</v>
      </c>
      <c r="C188" s="2" t="s">
        <v>251</v>
      </c>
      <c r="E188">
        <v>43805.25</v>
      </c>
      <c r="I188" t="s">
        <v>3895</v>
      </c>
      <c r="J188" t="s">
        <v>3705</v>
      </c>
    </row>
    <row r="189" spans="1:10">
      <c r="A189" t="s">
        <v>3858</v>
      </c>
      <c r="B189" t="s">
        <v>214</v>
      </c>
      <c r="C189" s="2" t="s">
        <v>252</v>
      </c>
      <c r="E189">
        <v>43649.73</v>
      </c>
      <c r="I189" t="s">
        <v>3896</v>
      </c>
      <c r="J189" t="s">
        <v>3705</v>
      </c>
    </row>
    <row r="190" spans="1:10">
      <c r="A190" t="s">
        <v>3858</v>
      </c>
      <c r="B190" t="s">
        <v>214</v>
      </c>
      <c r="C190" s="2" t="s">
        <v>251</v>
      </c>
      <c r="E190">
        <v>44090.55</v>
      </c>
      <c r="I190" t="s">
        <v>3897</v>
      </c>
      <c r="J190" t="s">
        <v>3705</v>
      </c>
    </row>
    <row r="191" spans="1:10">
      <c r="A191" t="s">
        <v>3858</v>
      </c>
      <c r="B191" t="s">
        <v>214</v>
      </c>
      <c r="C191" s="2" t="s">
        <v>250</v>
      </c>
      <c r="E191">
        <v>44876.75</v>
      </c>
      <c r="I191" t="s">
        <v>3898</v>
      </c>
      <c r="J191" t="s">
        <v>3705</v>
      </c>
    </row>
    <row r="192" spans="1:10">
      <c r="A192" t="s">
        <v>3844</v>
      </c>
      <c r="B192" t="s">
        <v>218</v>
      </c>
      <c r="C192" s="2" t="s">
        <v>249</v>
      </c>
      <c r="E192">
        <v>44007</v>
      </c>
      <c r="I192" t="s">
        <v>3899</v>
      </c>
      <c r="J192" t="s">
        <v>3705</v>
      </c>
    </row>
    <row r="193" spans="1:10">
      <c r="A193" t="s">
        <v>3884</v>
      </c>
      <c r="B193" t="s">
        <v>1345</v>
      </c>
      <c r="C193" s="2" t="s">
        <v>251</v>
      </c>
      <c r="E193">
        <v>44101.99</v>
      </c>
      <c r="I193" t="s">
        <v>816</v>
      </c>
      <c r="J193" t="s">
        <v>3761</v>
      </c>
    </row>
    <row r="194" spans="1:10">
      <c r="A194" t="s">
        <v>3884</v>
      </c>
      <c r="B194" t="s">
        <v>1345</v>
      </c>
      <c r="C194" s="2" t="s">
        <v>249</v>
      </c>
      <c r="E194">
        <v>44804.35</v>
      </c>
      <c r="I194" t="s">
        <v>816</v>
      </c>
      <c r="J194" t="s">
        <v>3761</v>
      </c>
    </row>
    <row r="195" spans="1:10">
      <c r="A195" t="s">
        <v>3884</v>
      </c>
      <c r="B195" t="s">
        <v>1345</v>
      </c>
      <c r="C195" s="2" t="s">
        <v>250</v>
      </c>
      <c r="E195">
        <v>45267.82</v>
      </c>
      <c r="I195" t="s">
        <v>816</v>
      </c>
      <c r="J195" t="s">
        <v>3761</v>
      </c>
    </row>
    <row r="196" spans="1:10">
      <c r="A196" t="s">
        <v>3884</v>
      </c>
      <c r="B196" t="s">
        <v>1345</v>
      </c>
      <c r="C196" s="2" t="s">
        <v>248</v>
      </c>
      <c r="E196">
        <v>45497.77</v>
      </c>
      <c r="I196" t="s">
        <v>816</v>
      </c>
      <c r="J196" t="s">
        <v>3761</v>
      </c>
    </row>
    <row r="197" spans="1:10">
      <c r="A197" t="s">
        <v>3844</v>
      </c>
      <c r="B197" t="s">
        <v>213</v>
      </c>
      <c r="C197" s="2" t="s">
        <v>249</v>
      </c>
      <c r="E197">
        <v>44107.18</v>
      </c>
      <c r="I197" t="s">
        <v>3900</v>
      </c>
      <c r="J197" t="s">
        <v>3705</v>
      </c>
    </row>
    <row r="198" spans="1:10">
      <c r="A198" t="s">
        <v>3844</v>
      </c>
      <c r="B198" t="s">
        <v>213</v>
      </c>
      <c r="C198" s="2" t="s">
        <v>250</v>
      </c>
      <c r="E198">
        <v>44313.57</v>
      </c>
      <c r="I198" t="s">
        <v>3901</v>
      </c>
      <c r="J198" t="s">
        <v>3705</v>
      </c>
    </row>
    <row r="199" spans="1:10">
      <c r="A199" t="s">
        <v>3858</v>
      </c>
      <c r="B199" t="s">
        <v>218</v>
      </c>
      <c r="C199" s="2" t="s">
        <v>250</v>
      </c>
      <c r="E199">
        <v>44110.04</v>
      </c>
      <c r="I199" t="s">
        <v>3902</v>
      </c>
      <c r="J199" t="s">
        <v>3705</v>
      </c>
    </row>
    <row r="200" spans="1:10">
      <c r="A200" t="s">
        <v>3858</v>
      </c>
      <c r="B200" t="s">
        <v>218</v>
      </c>
      <c r="C200" s="2" t="s">
        <v>249</v>
      </c>
      <c r="E200">
        <v>47232.38</v>
      </c>
      <c r="I200" t="s">
        <v>3903</v>
      </c>
      <c r="J200" t="s">
        <v>3705</v>
      </c>
    </row>
    <row r="201" spans="1:10">
      <c r="A201" t="s">
        <v>3904</v>
      </c>
      <c r="B201" t="s">
        <v>219</v>
      </c>
      <c r="C201" s="2" t="s">
        <v>251</v>
      </c>
      <c r="E201">
        <v>44266.89</v>
      </c>
      <c r="I201" t="s">
        <v>3905</v>
      </c>
      <c r="J201" t="s">
        <v>3705</v>
      </c>
    </row>
    <row r="202" spans="1:10">
      <c r="A202" t="s">
        <v>3906</v>
      </c>
      <c r="B202" t="s">
        <v>2200</v>
      </c>
      <c r="C202" s="2" t="s">
        <v>250</v>
      </c>
      <c r="E202">
        <v>44333.21</v>
      </c>
      <c r="I202" t="s">
        <v>816</v>
      </c>
      <c r="J202" t="s">
        <v>3761</v>
      </c>
    </row>
    <row r="203" spans="1:10">
      <c r="A203" t="s">
        <v>3906</v>
      </c>
      <c r="B203" t="s">
        <v>2200</v>
      </c>
      <c r="C203" s="2" t="s">
        <v>249</v>
      </c>
      <c r="E203">
        <v>44337.54</v>
      </c>
      <c r="H203">
        <v>2.08</v>
      </c>
      <c r="I203" t="s">
        <v>816</v>
      </c>
      <c r="J203" t="s">
        <v>3761</v>
      </c>
    </row>
    <row r="204" spans="1:10">
      <c r="A204" t="s">
        <v>3906</v>
      </c>
      <c r="B204" t="s">
        <v>2200</v>
      </c>
      <c r="C204" s="2" t="s">
        <v>251</v>
      </c>
      <c r="E204">
        <v>44343.9</v>
      </c>
      <c r="H204">
        <v>1.84</v>
      </c>
      <c r="I204" t="s">
        <v>816</v>
      </c>
      <c r="J204" t="s">
        <v>3761</v>
      </c>
    </row>
    <row r="205" spans="1:10">
      <c r="A205" t="s">
        <v>3906</v>
      </c>
      <c r="B205" t="s">
        <v>2200</v>
      </c>
      <c r="C205" s="2" t="s">
        <v>252</v>
      </c>
      <c r="E205">
        <v>44352.65</v>
      </c>
      <c r="H205">
        <v>1.67</v>
      </c>
      <c r="I205" t="s">
        <v>816</v>
      </c>
      <c r="J205" t="s">
        <v>3761</v>
      </c>
    </row>
    <row r="206" spans="1:10">
      <c r="A206" t="s">
        <v>3906</v>
      </c>
      <c r="B206" t="s">
        <v>2200</v>
      </c>
      <c r="C206" s="2" t="s">
        <v>1702</v>
      </c>
      <c r="E206">
        <v>44365.3</v>
      </c>
      <c r="H206">
        <v>1.66</v>
      </c>
      <c r="I206" t="s">
        <v>816</v>
      </c>
      <c r="J206" t="s">
        <v>3761</v>
      </c>
    </row>
    <row r="207" spans="1:10">
      <c r="A207" t="s">
        <v>3829</v>
      </c>
      <c r="B207" t="s">
        <v>216</v>
      </c>
      <c r="C207" s="2" t="s">
        <v>249</v>
      </c>
      <c r="E207">
        <v>44537.79</v>
      </c>
      <c r="I207" t="s">
        <v>3907</v>
      </c>
      <c r="J207" t="s">
        <v>3705</v>
      </c>
    </row>
    <row r="208" spans="1:10">
      <c r="A208" t="s">
        <v>3829</v>
      </c>
      <c r="B208" t="s">
        <v>216</v>
      </c>
      <c r="C208" s="2" t="s">
        <v>250</v>
      </c>
      <c r="E208">
        <v>44722.27</v>
      </c>
      <c r="I208" t="s">
        <v>3908</v>
      </c>
      <c r="J208" t="s">
        <v>3705</v>
      </c>
    </row>
    <row r="209" spans="1:10">
      <c r="A209" t="s">
        <v>3858</v>
      </c>
      <c r="B209" t="s">
        <v>609</v>
      </c>
      <c r="C209" s="2" t="s">
        <v>252</v>
      </c>
      <c r="E209">
        <v>44576.08</v>
      </c>
      <c r="I209" t="s">
        <v>3909</v>
      </c>
      <c r="J209" t="s">
        <v>3705</v>
      </c>
    </row>
    <row r="210" spans="1:10">
      <c r="A210" t="s">
        <v>3858</v>
      </c>
      <c r="B210" t="s">
        <v>609</v>
      </c>
      <c r="C210" s="2" t="s">
        <v>251</v>
      </c>
      <c r="E210">
        <v>44839.199999999997</v>
      </c>
      <c r="I210" t="s">
        <v>3910</v>
      </c>
      <c r="J210" t="s">
        <v>3705</v>
      </c>
    </row>
    <row r="211" spans="1:10">
      <c r="A211" t="s">
        <v>3906</v>
      </c>
      <c r="B211" t="s">
        <v>1463</v>
      </c>
      <c r="C211" s="2" t="s">
        <v>252</v>
      </c>
      <c r="E211">
        <v>44919.08</v>
      </c>
      <c r="H211">
        <v>1.54</v>
      </c>
      <c r="I211" t="s">
        <v>816</v>
      </c>
      <c r="J211" t="s">
        <v>3761</v>
      </c>
    </row>
    <row r="212" spans="1:10">
      <c r="A212" t="s">
        <v>3906</v>
      </c>
      <c r="B212" t="s">
        <v>1463</v>
      </c>
      <c r="C212" s="2" t="s">
        <v>251</v>
      </c>
      <c r="E212">
        <v>44985.53</v>
      </c>
      <c r="H212">
        <v>1.58</v>
      </c>
      <c r="I212" t="s">
        <v>816</v>
      </c>
      <c r="J212" t="s">
        <v>3761</v>
      </c>
    </row>
    <row r="213" spans="1:10">
      <c r="A213" t="s">
        <v>3906</v>
      </c>
      <c r="B213" t="s">
        <v>1463</v>
      </c>
      <c r="C213" s="2" t="s">
        <v>249</v>
      </c>
      <c r="E213">
        <v>45071.05</v>
      </c>
      <c r="H213">
        <v>1.66</v>
      </c>
      <c r="I213" t="s">
        <v>816</v>
      </c>
      <c r="J213" t="s">
        <v>3761</v>
      </c>
    </row>
    <row r="214" spans="1:10">
      <c r="A214" t="s">
        <v>3906</v>
      </c>
      <c r="B214" t="s">
        <v>1463</v>
      </c>
      <c r="C214" s="2" t="s">
        <v>250</v>
      </c>
      <c r="E214">
        <v>45108.639999999999</v>
      </c>
      <c r="H214">
        <v>1.87</v>
      </c>
      <c r="I214" t="s">
        <v>816</v>
      </c>
      <c r="J214" t="s">
        <v>3761</v>
      </c>
    </row>
    <row r="215" spans="1:10">
      <c r="A215" t="s">
        <v>3906</v>
      </c>
      <c r="B215" t="s">
        <v>1463</v>
      </c>
      <c r="C215" s="2" t="s">
        <v>248</v>
      </c>
      <c r="E215">
        <v>45189.7</v>
      </c>
      <c r="H215">
        <v>3.32</v>
      </c>
      <c r="I215" t="s">
        <v>816</v>
      </c>
      <c r="J215" t="s">
        <v>3761</v>
      </c>
    </row>
    <row r="216" spans="1:10">
      <c r="B216" t="s">
        <v>3600</v>
      </c>
      <c r="C216" s="2" t="s">
        <v>250</v>
      </c>
      <c r="E216">
        <v>44955.88</v>
      </c>
      <c r="I216" t="s">
        <v>816</v>
      </c>
      <c r="J216" t="s">
        <v>3705</v>
      </c>
    </row>
    <row r="217" spans="1:10">
      <c r="B217" t="s">
        <v>105</v>
      </c>
      <c r="C217" s="2" t="s">
        <v>252</v>
      </c>
      <c r="E217">
        <v>45708.77</v>
      </c>
      <c r="I217" t="s">
        <v>816</v>
      </c>
      <c r="J217" t="s">
        <v>3761</v>
      </c>
    </row>
    <row r="218" spans="1:10">
      <c r="A218" t="s">
        <v>3848</v>
      </c>
      <c r="B218" t="s">
        <v>644</v>
      </c>
      <c r="C218" s="2" t="s">
        <v>252</v>
      </c>
      <c r="E218">
        <v>46068.86</v>
      </c>
      <c r="I218" t="s">
        <v>3911</v>
      </c>
      <c r="J218" t="s">
        <v>3705</v>
      </c>
    </row>
    <row r="219" spans="1:10">
      <c r="A219" t="s">
        <v>3844</v>
      </c>
      <c r="B219" t="s">
        <v>219</v>
      </c>
      <c r="C219" s="2" t="s">
        <v>249</v>
      </c>
      <c r="E219">
        <v>46104.89</v>
      </c>
      <c r="I219" t="s">
        <v>3912</v>
      </c>
      <c r="J219" t="s">
        <v>3705</v>
      </c>
    </row>
    <row r="220" spans="1:10">
      <c r="A220" t="s">
        <v>3844</v>
      </c>
      <c r="B220" t="s">
        <v>219</v>
      </c>
      <c r="C220" s="2" t="s">
        <v>251</v>
      </c>
      <c r="E220">
        <v>46608.86</v>
      </c>
      <c r="I220" t="s">
        <v>3913</v>
      </c>
      <c r="J220" t="s">
        <v>3705</v>
      </c>
    </row>
    <row r="221" spans="1:10">
      <c r="A221" t="s">
        <v>3812</v>
      </c>
      <c r="B221" t="s">
        <v>216</v>
      </c>
      <c r="C221" s="2" t="s">
        <v>251</v>
      </c>
      <c r="E221">
        <v>46396.17</v>
      </c>
      <c r="I221" t="s">
        <v>3914</v>
      </c>
      <c r="J221" t="s">
        <v>3705</v>
      </c>
    </row>
    <row r="222" spans="1:10">
      <c r="A222" t="s">
        <v>3812</v>
      </c>
      <c r="B222" t="s">
        <v>216</v>
      </c>
      <c r="C222" s="2" t="s">
        <v>250</v>
      </c>
      <c r="E222">
        <v>47030.68</v>
      </c>
      <c r="I222" t="s">
        <v>3915</v>
      </c>
      <c r="J222" t="s">
        <v>3705</v>
      </c>
    </row>
    <row r="223" spans="1:10">
      <c r="A223" t="s">
        <v>3826</v>
      </c>
      <c r="B223" t="s">
        <v>2603</v>
      </c>
      <c r="C223" s="2" t="s">
        <v>251</v>
      </c>
      <c r="E223">
        <v>46656.07</v>
      </c>
      <c r="I223" t="s">
        <v>3916</v>
      </c>
      <c r="J223" t="s">
        <v>3705</v>
      </c>
    </row>
    <row r="224" spans="1:10">
      <c r="A224" t="s">
        <v>3826</v>
      </c>
      <c r="B224" t="s">
        <v>2603</v>
      </c>
      <c r="C224" s="2" t="s">
        <v>252</v>
      </c>
      <c r="E224">
        <v>46700.54</v>
      </c>
      <c r="I224" t="s">
        <v>3917</v>
      </c>
      <c r="J224" t="s">
        <v>3819</v>
      </c>
    </row>
    <row r="225" spans="1:10">
      <c r="A225" t="s">
        <v>3826</v>
      </c>
      <c r="B225" t="s">
        <v>2603</v>
      </c>
      <c r="C225" s="2" t="s">
        <v>1702</v>
      </c>
      <c r="E225">
        <v>46781.8</v>
      </c>
      <c r="I225" t="s">
        <v>3918</v>
      </c>
      <c r="J225" t="s">
        <v>3819</v>
      </c>
    </row>
    <row r="226" spans="1:10">
      <c r="A226" t="s">
        <v>3826</v>
      </c>
      <c r="B226" t="s">
        <v>2603</v>
      </c>
      <c r="C226" s="2" t="s">
        <v>720</v>
      </c>
      <c r="E226">
        <v>46840.59</v>
      </c>
      <c r="I226" t="s">
        <v>3919</v>
      </c>
      <c r="J226" t="s">
        <v>3819</v>
      </c>
    </row>
    <row r="227" spans="1:10">
      <c r="A227" t="s">
        <v>3812</v>
      </c>
      <c r="B227" t="s">
        <v>213</v>
      </c>
      <c r="C227" s="2" t="s">
        <v>249</v>
      </c>
      <c r="E227">
        <v>47281.86</v>
      </c>
      <c r="I227" t="s">
        <v>3920</v>
      </c>
      <c r="J227" t="s">
        <v>3705</v>
      </c>
    </row>
    <row r="228" spans="1:10">
      <c r="A228" t="s">
        <v>3817</v>
      </c>
      <c r="B228" t="s">
        <v>606</v>
      </c>
      <c r="C228" s="2" t="s">
        <v>1702</v>
      </c>
      <c r="E228">
        <v>47294.35</v>
      </c>
      <c r="I228" t="s">
        <v>3921</v>
      </c>
      <c r="J228" t="s">
        <v>3705</v>
      </c>
    </row>
    <row r="229" spans="1:10">
      <c r="A229" t="s">
        <v>3904</v>
      </c>
      <c r="B229" t="s">
        <v>606</v>
      </c>
      <c r="C229" s="2" t="s">
        <v>252</v>
      </c>
      <c r="E229">
        <v>47343.91</v>
      </c>
      <c r="I229" t="s">
        <v>3922</v>
      </c>
      <c r="J229" t="s">
        <v>3705</v>
      </c>
    </row>
    <row r="230" spans="1:10">
      <c r="A230" t="s">
        <v>3904</v>
      </c>
      <c r="B230" t="s">
        <v>606</v>
      </c>
      <c r="C230" s="2" t="s">
        <v>251</v>
      </c>
      <c r="E230">
        <v>47389.74</v>
      </c>
      <c r="I230" t="s">
        <v>3923</v>
      </c>
      <c r="J230" t="s">
        <v>3705</v>
      </c>
    </row>
    <row r="231" spans="1:10">
      <c r="A231" t="s">
        <v>3904</v>
      </c>
      <c r="B231" t="s">
        <v>606</v>
      </c>
      <c r="C231" s="2" t="s">
        <v>249</v>
      </c>
      <c r="E231">
        <v>47452.27</v>
      </c>
      <c r="I231" t="s">
        <v>3924</v>
      </c>
      <c r="J231" t="s">
        <v>3705</v>
      </c>
    </row>
    <row r="232" spans="1:10">
      <c r="A232" t="s">
        <v>3829</v>
      </c>
      <c r="B232" t="s">
        <v>619</v>
      </c>
      <c r="C232" s="2" t="s">
        <v>248</v>
      </c>
      <c r="E232">
        <v>47670.53</v>
      </c>
      <c r="I232" t="s">
        <v>3925</v>
      </c>
      <c r="J232" t="s">
        <v>3705</v>
      </c>
    </row>
    <row r="233" spans="1:10">
      <c r="A233" t="s">
        <v>3926</v>
      </c>
      <c r="B233" t="s">
        <v>644</v>
      </c>
      <c r="C233" s="2" t="s">
        <v>252</v>
      </c>
      <c r="E233">
        <v>47819.66</v>
      </c>
      <c r="I233" t="s">
        <v>3927</v>
      </c>
      <c r="J233" t="s">
        <v>3705</v>
      </c>
    </row>
    <row r="234" spans="1:10">
      <c r="A234" t="s">
        <v>3826</v>
      </c>
      <c r="B234" t="s">
        <v>609</v>
      </c>
      <c r="C234" s="2" t="s">
        <v>251</v>
      </c>
      <c r="E234">
        <v>47864.34</v>
      </c>
      <c r="I234" t="s">
        <v>3928</v>
      </c>
      <c r="J234" t="s">
        <v>3705</v>
      </c>
    </row>
    <row r="235" spans="1:10">
      <c r="A235" t="s">
        <v>3826</v>
      </c>
      <c r="B235" t="s">
        <v>609</v>
      </c>
      <c r="C235" s="2" t="s">
        <v>252</v>
      </c>
      <c r="E235">
        <v>48881.75</v>
      </c>
      <c r="I235" t="s">
        <v>3929</v>
      </c>
      <c r="J235" t="s">
        <v>3705</v>
      </c>
    </row>
    <row r="236" spans="1:10">
      <c r="A236" t="s">
        <v>3839</v>
      </c>
      <c r="B236" t="s">
        <v>214</v>
      </c>
      <c r="C236" s="2" t="s">
        <v>249</v>
      </c>
      <c r="E236">
        <v>48142.76</v>
      </c>
      <c r="I236" t="s">
        <v>3930</v>
      </c>
      <c r="J236" t="s">
        <v>3705</v>
      </c>
    </row>
    <row r="237" spans="1:10">
      <c r="A237" t="s">
        <v>3839</v>
      </c>
      <c r="B237" t="s">
        <v>214</v>
      </c>
      <c r="C237" s="2" t="s">
        <v>251</v>
      </c>
      <c r="E237">
        <v>48217.35</v>
      </c>
      <c r="I237" t="s">
        <v>3931</v>
      </c>
      <c r="J237" t="s">
        <v>3705</v>
      </c>
    </row>
    <row r="238" spans="1:10">
      <c r="A238" t="s">
        <v>3839</v>
      </c>
      <c r="B238" t="s">
        <v>214</v>
      </c>
      <c r="C238" s="2" t="s">
        <v>252</v>
      </c>
      <c r="E238">
        <v>48287.79</v>
      </c>
      <c r="I238" t="s">
        <v>3932</v>
      </c>
      <c r="J238" t="s">
        <v>3705</v>
      </c>
    </row>
    <row r="239" spans="1:10">
      <c r="A239" t="s">
        <v>3926</v>
      </c>
      <c r="B239" t="s">
        <v>609</v>
      </c>
      <c r="C239" s="2" t="s">
        <v>252</v>
      </c>
      <c r="E239">
        <v>48213.49</v>
      </c>
      <c r="I239" t="s">
        <v>3933</v>
      </c>
      <c r="J239" t="s">
        <v>3705</v>
      </c>
    </row>
    <row r="240" spans="1:10">
      <c r="A240" t="s">
        <v>3934</v>
      </c>
      <c r="B240" t="s">
        <v>2395</v>
      </c>
      <c r="C240" s="2" t="s">
        <v>720</v>
      </c>
      <c r="E240">
        <v>48330.39</v>
      </c>
      <c r="I240" t="s">
        <v>3935</v>
      </c>
      <c r="J240" t="s">
        <v>3819</v>
      </c>
    </row>
    <row r="241" spans="1:10">
      <c r="A241" t="s">
        <v>3934</v>
      </c>
      <c r="B241" t="s">
        <v>2395</v>
      </c>
      <c r="C241" s="2" t="s">
        <v>1322</v>
      </c>
      <c r="E241">
        <v>48851.61</v>
      </c>
      <c r="I241" t="s">
        <v>3936</v>
      </c>
      <c r="J241" t="s">
        <v>3819</v>
      </c>
    </row>
    <row r="242" spans="1:10">
      <c r="A242" t="s">
        <v>3937</v>
      </c>
      <c r="B242" t="s">
        <v>1535</v>
      </c>
      <c r="C242" s="2" t="s">
        <v>1702</v>
      </c>
      <c r="E242">
        <v>48404.5</v>
      </c>
      <c r="I242" t="s">
        <v>3938</v>
      </c>
      <c r="J242" t="s">
        <v>3819</v>
      </c>
    </row>
    <row r="243" spans="1:10">
      <c r="A243" t="s">
        <v>3937</v>
      </c>
      <c r="B243" t="s">
        <v>1535</v>
      </c>
      <c r="C243" s="2" t="s">
        <v>252</v>
      </c>
      <c r="E243">
        <v>48418.21</v>
      </c>
      <c r="I243" t="s">
        <v>3939</v>
      </c>
      <c r="J243" t="s">
        <v>3705</v>
      </c>
    </row>
    <row r="244" spans="1:10">
      <c r="A244" t="s">
        <v>3937</v>
      </c>
      <c r="B244" t="s">
        <v>1535</v>
      </c>
      <c r="C244" s="2" t="s">
        <v>251</v>
      </c>
      <c r="E244">
        <v>49245.95</v>
      </c>
      <c r="I244" t="s">
        <v>3940</v>
      </c>
      <c r="J244" t="s">
        <v>3705</v>
      </c>
    </row>
    <row r="245" spans="1:10">
      <c r="A245" t="s">
        <v>3937</v>
      </c>
      <c r="B245" t="s">
        <v>1621</v>
      </c>
      <c r="C245" s="2" t="s">
        <v>251</v>
      </c>
      <c r="E245">
        <v>48462.94</v>
      </c>
      <c r="I245" t="s">
        <v>3941</v>
      </c>
      <c r="J245" t="s">
        <v>3705</v>
      </c>
    </row>
    <row r="246" spans="1:10">
      <c r="A246" t="s">
        <v>3937</v>
      </c>
      <c r="B246" t="s">
        <v>1621</v>
      </c>
      <c r="C246" s="2" t="s">
        <v>252</v>
      </c>
      <c r="E246">
        <v>48977.03</v>
      </c>
      <c r="I246" t="s">
        <v>3942</v>
      </c>
      <c r="J246" t="s">
        <v>3705</v>
      </c>
    </row>
    <row r="247" spans="1:10">
      <c r="A247" t="s">
        <v>3937</v>
      </c>
      <c r="B247" t="s">
        <v>1621</v>
      </c>
      <c r="C247" s="2" t="s">
        <v>249</v>
      </c>
      <c r="E247">
        <v>49566.11</v>
      </c>
      <c r="I247" t="s">
        <v>3943</v>
      </c>
      <c r="J247" t="s">
        <v>3819</v>
      </c>
    </row>
    <row r="248" spans="1:10">
      <c r="A248" t="s">
        <v>3937</v>
      </c>
      <c r="B248" t="s">
        <v>3944</v>
      </c>
      <c r="C248" s="2" t="s">
        <v>249</v>
      </c>
      <c r="E248">
        <v>48572.1</v>
      </c>
      <c r="I248" t="s">
        <v>3945</v>
      </c>
      <c r="J248" t="s">
        <v>3819</v>
      </c>
    </row>
    <row r="249" spans="1:10">
      <c r="A249" t="s">
        <v>3937</v>
      </c>
      <c r="B249" t="s">
        <v>3944</v>
      </c>
      <c r="C249" s="2" t="s">
        <v>250</v>
      </c>
      <c r="E249">
        <v>49433.18</v>
      </c>
      <c r="I249" t="s">
        <v>3946</v>
      </c>
      <c r="J249" t="s">
        <v>3819</v>
      </c>
    </row>
    <row r="250" spans="1:10">
      <c r="A250" t="s">
        <v>3937</v>
      </c>
      <c r="B250" t="s">
        <v>3947</v>
      </c>
      <c r="C250" s="2" t="s">
        <v>720</v>
      </c>
      <c r="E250">
        <v>48666.07</v>
      </c>
      <c r="I250">
        <v>99</v>
      </c>
      <c r="J250" t="s">
        <v>3819</v>
      </c>
    </row>
    <row r="251" spans="1:10">
      <c r="A251" t="s">
        <v>3937</v>
      </c>
      <c r="B251" t="s">
        <v>3947</v>
      </c>
      <c r="C251" s="2" t="s">
        <v>1702</v>
      </c>
      <c r="E251">
        <v>49384.01</v>
      </c>
      <c r="I251" t="s">
        <v>3948</v>
      </c>
      <c r="J251" t="s">
        <v>3819</v>
      </c>
    </row>
    <row r="252" spans="1:10">
      <c r="A252" t="s">
        <v>3937</v>
      </c>
      <c r="B252" t="s">
        <v>3947</v>
      </c>
      <c r="C252" s="2" t="s">
        <v>251</v>
      </c>
      <c r="E252">
        <v>49565.96</v>
      </c>
      <c r="I252" t="s">
        <v>3949</v>
      </c>
      <c r="J252" t="s">
        <v>3705</v>
      </c>
    </row>
    <row r="253" spans="1:10">
      <c r="A253" t="s">
        <v>3937</v>
      </c>
      <c r="B253" t="s">
        <v>3947</v>
      </c>
      <c r="C253" s="2" t="s">
        <v>252</v>
      </c>
      <c r="E253">
        <v>49583.27</v>
      </c>
      <c r="I253" t="s">
        <v>3950</v>
      </c>
      <c r="J253" t="s">
        <v>3819</v>
      </c>
    </row>
    <row r="254" spans="1:10">
      <c r="A254" t="s">
        <v>3937</v>
      </c>
      <c r="B254" t="s">
        <v>3947</v>
      </c>
      <c r="C254" s="2" t="s">
        <v>249</v>
      </c>
      <c r="E254">
        <v>49938.6</v>
      </c>
      <c r="I254" t="s">
        <v>3951</v>
      </c>
      <c r="J254" t="s">
        <v>3705</v>
      </c>
    </row>
    <row r="255" spans="1:10">
      <c r="A255" t="s">
        <v>3937</v>
      </c>
      <c r="B255" t="s">
        <v>231</v>
      </c>
      <c r="C255" s="2" t="s">
        <v>251</v>
      </c>
      <c r="E255">
        <v>48784.86</v>
      </c>
      <c r="I255" t="s">
        <v>3952</v>
      </c>
      <c r="J255" t="s">
        <v>3705</v>
      </c>
    </row>
    <row r="256" spans="1:10">
      <c r="A256" t="s">
        <v>3937</v>
      </c>
      <c r="B256" t="s">
        <v>231</v>
      </c>
      <c r="C256" s="2" t="s">
        <v>249</v>
      </c>
      <c r="E256">
        <v>48944.13</v>
      </c>
      <c r="I256" t="s">
        <v>3953</v>
      </c>
      <c r="J256" t="s">
        <v>3705</v>
      </c>
    </row>
    <row r="257" spans="1:10">
      <c r="A257" t="s">
        <v>3937</v>
      </c>
      <c r="B257" t="s">
        <v>231</v>
      </c>
      <c r="C257" s="2" t="s">
        <v>250</v>
      </c>
      <c r="E257">
        <v>49735.08</v>
      </c>
      <c r="I257" t="s">
        <v>3954</v>
      </c>
      <c r="J257" t="s">
        <v>3705</v>
      </c>
    </row>
    <row r="258" spans="1:10">
      <c r="A258" t="s">
        <v>3937</v>
      </c>
      <c r="B258" t="s">
        <v>651</v>
      </c>
      <c r="C258" s="2" t="s">
        <v>1702</v>
      </c>
      <c r="E258">
        <v>48789.5</v>
      </c>
      <c r="I258" t="s">
        <v>3955</v>
      </c>
      <c r="J258" t="s">
        <v>3819</v>
      </c>
    </row>
    <row r="259" spans="1:10">
      <c r="A259" t="s">
        <v>3937</v>
      </c>
      <c r="B259" t="s">
        <v>651</v>
      </c>
      <c r="C259" s="2" t="s">
        <v>252</v>
      </c>
      <c r="E259">
        <v>49340.5</v>
      </c>
      <c r="I259" t="s">
        <v>3956</v>
      </c>
      <c r="J259" t="s">
        <v>3819</v>
      </c>
    </row>
    <row r="260" spans="1:10">
      <c r="A260" t="s">
        <v>3937</v>
      </c>
      <c r="B260" t="s">
        <v>651</v>
      </c>
      <c r="C260" s="2" t="s">
        <v>251</v>
      </c>
      <c r="E260">
        <v>49813.62</v>
      </c>
      <c r="I260" t="s">
        <v>3957</v>
      </c>
      <c r="J260" t="s">
        <v>3705</v>
      </c>
    </row>
    <row r="261" spans="1:10">
      <c r="A261" t="s">
        <v>3958</v>
      </c>
      <c r="B261" t="s">
        <v>1475</v>
      </c>
      <c r="C261" s="2" t="s">
        <v>252</v>
      </c>
      <c r="E261">
        <v>49098.66</v>
      </c>
      <c r="I261" t="s">
        <v>3959</v>
      </c>
      <c r="J261" t="s">
        <v>3705</v>
      </c>
    </row>
    <row r="262" spans="1:10">
      <c r="B262" t="s">
        <v>3602</v>
      </c>
      <c r="C262" s="2" t="s">
        <v>251</v>
      </c>
      <c r="E262">
        <v>49130.01</v>
      </c>
      <c r="I262" t="s">
        <v>816</v>
      </c>
      <c r="J262" t="s">
        <v>3705</v>
      </c>
    </row>
    <row r="263" spans="1:10">
      <c r="A263" t="s">
        <v>3934</v>
      </c>
      <c r="B263" t="s">
        <v>644</v>
      </c>
      <c r="C263" s="2" t="s">
        <v>1702</v>
      </c>
      <c r="E263">
        <v>49176.29</v>
      </c>
      <c r="I263" t="s">
        <v>3960</v>
      </c>
      <c r="J263" t="s">
        <v>3819</v>
      </c>
    </row>
    <row r="264" spans="1:10">
      <c r="A264" t="s">
        <v>3934</v>
      </c>
      <c r="B264" t="s">
        <v>644</v>
      </c>
      <c r="C264" s="2" t="s">
        <v>252</v>
      </c>
      <c r="E264">
        <v>49815.88</v>
      </c>
      <c r="I264" t="s">
        <v>3961</v>
      </c>
      <c r="J264" t="s">
        <v>3705</v>
      </c>
    </row>
    <row r="265" spans="1:10">
      <c r="A265" t="s">
        <v>3937</v>
      </c>
      <c r="B265" t="s">
        <v>665</v>
      </c>
      <c r="C265" s="2" t="s">
        <v>250</v>
      </c>
      <c r="E265">
        <v>49328.56</v>
      </c>
      <c r="I265" t="s">
        <v>3962</v>
      </c>
      <c r="J265" t="s">
        <v>3819</v>
      </c>
    </row>
    <row r="266" spans="1:10">
      <c r="A266" t="s">
        <v>3963</v>
      </c>
      <c r="B266" t="s">
        <v>3704</v>
      </c>
      <c r="C266" s="2" t="s">
        <v>249</v>
      </c>
      <c r="E266">
        <v>49337.51</v>
      </c>
      <c r="I266" t="s">
        <v>816</v>
      </c>
      <c r="J266" t="s">
        <v>3705</v>
      </c>
    </row>
    <row r="267" spans="1:10">
      <c r="B267">
        <v>4</v>
      </c>
      <c r="C267" s="2" t="s">
        <v>251</v>
      </c>
      <c r="E267">
        <v>49573.35</v>
      </c>
      <c r="F267" t="s">
        <v>34</v>
      </c>
      <c r="I267" t="s">
        <v>816</v>
      </c>
      <c r="J267" t="s">
        <v>3761</v>
      </c>
    </row>
    <row r="268" spans="1:10">
      <c r="A268" t="s">
        <v>3937</v>
      </c>
      <c r="B268" t="s">
        <v>576</v>
      </c>
      <c r="C268" s="2" t="s">
        <v>252</v>
      </c>
      <c r="E268">
        <v>49941.86</v>
      </c>
      <c r="I268" t="s">
        <v>3964</v>
      </c>
      <c r="J268" t="s">
        <v>3819</v>
      </c>
    </row>
    <row r="269" spans="1:10">
      <c r="A269" t="s">
        <v>3937</v>
      </c>
      <c r="B269" t="s">
        <v>576</v>
      </c>
      <c r="C269" s="2" t="s">
        <v>251</v>
      </c>
      <c r="E269">
        <v>50338.28</v>
      </c>
      <c r="I269" t="s">
        <v>3965</v>
      </c>
      <c r="J269" t="s">
        <v>3819</v>
      </c>
    </row>
    <row r="270" spans="1:10">
      <c r="A270" t="s">
        <v>3934</v>
      </c>
      <c r="B270" t="s">
        <v>1573</v>
      </c>
      <c r="C270" s="2" t="s">
        <v>720</v>
      </c>
      <c r="E270">
        <v>50290.1</v>
      </c>
      <c r="I270" t="s">
        <v>3966</v>
      </c>
      <c r="J270" t="s">
        <v>3819</v>
      </c>
    </row>
    <row r="271" spans="1:10">
      <c r="A271" t="s">
        <v>3934</v>
      </c>
      <c r="B271" t="s">
        <v>1573</v>
      </c>
      <c r="C271" s="2" t="s">
        <v>1702</v>
      </c>
      <c r="E271">
        <v>50336.22</v>
      </c>
      <c r="I271" t="s">
        <v>3967</v>
      </c>
      <c r="J271" t="s">
        <v>3819</v>
      </c>
    </row>
    <row r="272" spans="1:10">
      <c r="A272" t="s">
        <v>3904</v>
      </c>
      <c r="B272" t="s">
        <v>644</v>
      </c>
      <c r="C272" s="2" t="s">
        <v>1702</v>
      </c>
      <c r="E272">
        <v>50777.55</v>
      </c>
      <c r="I272" t="s">
        <v>3968</v>
      </c>
      <c r="J272" t="s">
        <v>3819</v>
      </c>
    </row>
    <row r="273" spans="1:10">
      <c r="A273" t="s">
        <v>3904</v>
      </c>
      <c r="B273" t="s">
        <v>644</v>
      </c>
      <c r="C273" s="2" t="s">
        <v>252</v>
      </c>
      <c r="E273">
        <v>51126.84</v>
      </c>
      <c r="I273" t="s">
        <v>3969</v>
      </c>
      <c r="J273" t="s">
        <v>3819</v>
      </c>
    </row>
    <row r="274" spans="1:10">
      <c r="A274" t="s">
        <v>3970</v>
      </c>
      <c r="B274" t="s">
        <v>2603</v>
      </c>
      <c r="C274" s="2" t="s">
        <v>720</v>
      </c>
      <c r="E274">
        <v>51163.67</v>
      </c>
      <c r="I274" t="s">
        <v>3971</v>
      </c>
      <c r="J274" t="s">
        <v>3819</v>
      </c>
    </row>
    <row r="275" spans="1:10">
      <c r="A275" t="s">
        <v>3970</v>
      </c>
      <c r="B275" t="s">
        <v>2603</v>
      </c>
      <c r="C275" s="2" t="s">
        <v>1702</v>
      </c>
      <c r="E275">
        <v>51221.24</v>
      </c>
      <c r="I275" t="s">
        <v>3972</v>
      </c>
      <c r="J275" t="s">
        <v>3705</v>
      </c>
    </row>
    <row r="276" spans="1:10">
      <c r="A276" t="s">
        <v>3970</v>
      </c>
      <c r="B276" t="s">
        <v>2603</v>
      </c>
      <c r="C276" s="2" t="s">
        <v>251</v>
      </c>
      <c r="E276">
        <v>51423.7</v>
      </c>
      <c r="I276" t="s">
        <v>3973</v>
      </c>
      <c r="J276" t="s">
        <v>3705</v>
      </c>
    </row>
    <row r="277" spans="1:10">
      <c r="A277" t="s">
        <v>3970</v>
      </c>
      <c r="B277" t="s">
        <v>2603</v>
      </c>
      <c r="C277" s="2" t="s">
        <v>252</v>
      </c>
      <c r="E277">
        <v>51442.080000000002</v>
      </c>
      <c r="I277" t="s">
        <v>3974</v>
      </c>
      <c r="J277" t="s">
        <v>3819</v>
      </c>
    </row>
    <row r="278" spans="1:10">
      <c r="A278" t="s">
        <v>3975</v>
      </c>
      <c r="B278" t="s">
        <v>1453</v>
      </c>
      <c r="C278" s="2" t="s">
        <v>251</v>
      </c>
      <c r="E278">
        <v>51204.28</v>
      </c>
      <c r="I278" t="s">
        <v>3976</v>
      </c>
      <c r="J278" t="s">
        <v>3819</v>
      </c>
    </row>
    <row r="279" spans="1:10">
      <c r="A279" t="s">
        <v>3977</v>
      </c>
      <c r="B279" t="s">
        <v>214</v>
      </c>
      <c r="C279" s="2" t="s">
        <v>252</v>
      </c>
      <c r="E279">
        <v>52350.239999999998</v>
      </c>
      <c r="I279" t="s">
        <v>3978</v>
      </c>
      <c r="J279" t="s">
        <v>3705</v>
      </c>
    </row>
    <row r="280" spans="1:10">
      <c r="A280" t="s">
        <v>3979</v>
      </c>
      <c r="B280" t="s">
        <v>606</v>
      </c>
      <c r="C280" s="2" t="s">
        <v>1702</v>
      </c>
      <c r="E280">
        <v>53795.6</v>
      </c>
      <c r="I280" t="s">
        <v>3980</v>
      </c>
      <c r="J280" t="s">
        <v>3819</v>
      </c>
    </row>
    <row r="281" spans="1:10">
      <c r="B281">
        <v>1</v>
      </c>
      <c r="C281" s="2" t="s">
        <v>249</v>
      </c>
      <c r="E281">
        <v>53945.19</v>
      </c>
      <c r="I281" t="s">
        <v>816</v>
      </c>
      <c r="J281" t="s">
        <v>3761</v>
      </c>
    </row>
    <row r="282" spans="1:10">
      <c r="A282" t="s">
        <v>3979</v>
      </c>
      <c r="B282" t="s">
        <v>3548</v>
      </c>
      <c r="C282" s="2" t="s">
        <v>1702</v>
      </c>
      <c r="E282">
        <v>54948.66</v>
      </c>
      <c r="I282" t="s">
        <v>3981</v>
      </c>
      <c r="J282" t="s">
        <v>3819</v>
      </c>
    </row>
    <row r="283" spans="1:10">
      <c r="A283" t="s">
        <v>3982</v>
      </c>
      <c r="B283" t="s">
        <v>2603</v>
      </c>
      <c r="C283" s="2" t="s">
        <v>720</v>
      </c>
      <c r="E283">
        <v>55066.64</v>
      </c>
      <c r="I283" t="s">
        <v>3983</v>
      </c>
      <c r="J283" t="s">
        <v>3819</v>
      </c>
    </row>
    <row r="284" spans="1:10">
      <c r="B284">
        <v>9</v>
      </c>
      <c r="C284" s="2" t="s">
        <v>1702</v>
      </c>
      <c r="E284">
        <v>56118.36</v>
      </c>
      <c r="I284" t="s">
        <v>816</v>
      </c>
      <c r="J284" t="s">
        <v>3761</v>
      </c>
    </row>
    <row r="285" spans="1:10">
      <c r="A285" t="s">
        <v>3984</v>
      </c>
      <c r="B285" t="s">
        <v>202</v>
      </c>
      <c r="C285" s="2" t="s">
        <v>203</v>
      </c>
      <c r="E285">
        <v>57421.68</v>
      </c>
      <c r="G285">
        <v>0.26</v>
      </c>
      <c r="I285" t="s">
        <v>816</v>
      </c>
      <c r="J285" t="s">
        <v>3985</v>
      </c>
    </row>
    <row r="286" spans="1:10">
      <c r="B286">
        <v>10</v>
      </c>
      <c r="C286" s="2" t="s">
        <v>1702</v>
      </c>
      <c r="E286">
        <v>59315.3</v>
      </c>
      <c r="F286" t="s">
        <v>34</v>
      </c>
      <c r="I286" t="s">
        <v>816</v>
      </c>
      <c r="J286" t="s">
        <v>3761</v>
      </c>
    </row>
    <row r="287" spans="1:10">
      <c r="B287">
        <v>5</v>
      </c>
      <c r="C287" s="2" t="s">
        <v>251</v>
      </c>
      <c r="E287">
        <v>62038.26</v>
      </c>
      <c r="F287" t="s">
        <v>34</v>
      </c>
      <c r="I287" t="s">
        <v>816</v>
      </c>
      <c r="J287" t="s">
        <v>3761</v>
      </c>
    </row>
    <row r="288" spans="1:10">
      <c r="B288">
        <v>6</v>
      </c>
      <c r="C288" s="2" t="s">
        <v>251</v>
      </c>
      <c r="E288">
        <v>62501.78</v>
      </c>
      <c r="F288" t="s">
        <v>34</v>
      </c>
      <c r="I288" t="s">
        <v>816</v>
      </c>
      <c r="J288" t="s">
        <v>3761</v>
      </c>
    </row>
    <row r="289" spans="2:10">
      <c r="B289">
        <v>8</v>
      </c>
      <c r="C289" s="2" t="s">
        <v>252</v>
      </c>
      <c r="E289">
        <v>62599.48</v>
      </c>
      <c r="F289" t="s">
        <v>34</v>
      </c>
      <c r="I289" t="s">
        <v>816</v>
      </c>
      <c r="J289" t="s">
        <v>3761</v>
      </c>
    </row>
    <row r="290" spans="2:10">
      <c r="B290">
        <v>2</v>
      </c>
      <c r="C290" s="2" t="s">
        <v>249</v>
      </c>
      <c r="E290">
        <v>63926.66</v>
      </c>
      <c r="F290" t="s">
        <v>34</v>
      </c>
      <c r="I290" t="s">
        <v>816</v>
      </c>
      <c r="J290" t="s">
        <v>3761</v>
      </c>
    </row>
    <row r="291" spans="2:10">
      <c r="B291">
        <v>7</v>
      </c>
      <c r="C291" s="2" t="s">
        <v>251</v>
      </c>
      <c r="E291">
        <v>64785.9</v>
      </c>
      <c r="F291" t="s">
        <v>34</v>
      </c>
      <c r="I291" t="s">
        <v>816</v>
      </c>
      <c r="J291" t="s">
        <v>3761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6767-669F-4631-BB60-06E314250D6C}">
  <dimension ref="A1:I330"/>
  <sheetViews>
    <sheetView workbookViewId="0"/>
  </sheetViews>
  <sheetFormatPr defaultRowHeight="15"/>
  <cols>
    <col min="1" max="1" width="17.42578125" bestFit="1" customWidth="1"/>
    <col min="2" max="2" width="8.710937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10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10</v>
      </c>
      <c r="B2" t="s">
        <v>11</v>
      </c>
      <c r="C2">
        <v>5</v>
      </c>
      <c r="E2">
        <v>0</v>
      </c>
      <c r="H2">
        <v>1.397</v>
      </c>
      <c r="I2" t="s">
        <v>12</v>
      </c>
    </row>
    <row r="3" spans="1:9">
      <c r="A3" t="s">
        <v>10</v>
      </c>
      <c r="B3" t="s">
        <v>11</v>
      </c>
      <c r="C3">
        <v>4</v>
      </c>
      <c r="E3">
        <v>1190.6400000000001</v>
      </c>
      <c r="H3">
        <v>1.349</v>
      </c>
    </row>
    <row r="4" spans="1:9">
      <c r="A4" t="s">
        <v>10</v>
      </c>
      <c r="B4" t="s">
        <v>11</v>
      </c>
      <c r="C4">
        <v>3</v>
      </c>
      <c r="E4">
        <v>2091.54</v>
      </c>
      <c r="H4">
        <v>1.2490000000000001</v>
      </c>
    </row>
    <row r="5" spans="1:9">
      <c r="A5" t="s">
        <v>10</v>
      </c>
      <c r="B5" t="s">
        <v>11</v>
      </c>
      <c r="C5">
        <v>2</v>
      </c>
      <c r="E5">
        <v>2713.24</v>
      </c>
      <c r="H5">
        <v>1</v>
      </c>
    </row>
    <row r="6" spans="1:9">
      <c r="A6" t="s">
        <v>10</v>
      </c>
      <c r="B6" t="s">
        <v>11</v>
      </c>
      <c r="C6">
        <v>1</v>
      </c>
      <c r="E6">
        <v>3105.49</v>
      </c>
      <c r="H6">
        <v>0</v>
      </c>
    </row>
    <row r="7" spans="1:9">
      <c r="A7" t="s">
        <v>10</v>
      </c>
      <c r="B7" t="s">
        <v>13</v>
      </c>
      <c r="C7">
        <v>4</v>
      </c>
      <c r="E7">
        <v>6545.03</v>
      </c>
      <c r="H7">
        <v>1.284</v>
      </c>
    </row>
    <row r="8" spans="1:9">
      <c r="A8" t="s">
        <v>10</v>
      </c>
      <c r="B8" t="s">
        <v>13</v>
      </c>
      <c r="C8">
        <v>3</v>
      </c>
      <c r="E8">
        <v>8084.12</v>
      </c>
      <c r="H8">
        <v>1.196</v>
      </c>
    </row>
    <row r="9" spans="1:9">
      <c r="A9" t="s">
        <v>10</v>
      </c>
      <c r="B9" t="s">
        <v>13</v>
      </c>
      <c r="C9">
        <v>2</v>
      </c>
      <c r="E9">
        <v>9183.66</v>
      </c>
      <c r="H9">
        <v>1.089</v>
      </c>
    </row>
    <row r="10" spans="1:9">
      <c r="A10" t="s">
        <v>14</v>
      </c>
      <c r="B10" t="s">
        <v>15</v>
      </c>
      <c r="C10">
        <v>4</v>
      </c>
      <c r="E10">
        <v>7483.07</v>
      </c>
      <c r="H10">
        <v>1.4470000000000001</v>
      </c>
    </row>
    <row r="11" spans="1:9">
      <c r="A11" t="s">
        <v>14</v>
      </c>
      <c r="B11" t="s">
        <v>15</v>
      </c>
      <c r="C11">
        <v>3</v>
      </c>
      <c r="E11">
        <v>8575.42</v>
      </c>
      <c r="H11">
        <v>1.42</v>
      </c>
    </row>
    <row r="12" spans="1:9">
      <c r="A12" t="s">
        <v>14</v>
      </c>
      <c r="B12" t="s">
        <v>15</v>
      </c>
      <c r="C12">
        <v>2</v>
      </c>
      <c r="E12">
        <v>9057.64</v>
      </c>
      <c r="H12">
        <v>1.232</v>
      </c>
    </row>
    <row r="13" spans="1:9">
      <c r="A13" t="s">
        <v>14</v>
      </c>
      <c r="B13" t="s">
        <v>15</v>
      </c>
      <c r="C13">
        <v>1</v>
      </c>
      <c r="E13">
        <v>9072.98</v>
      </c>
      <c r="H13">
        <v>1.7949999999999999</v>
      </c>
    </row>
    <row r="14" spans="1:9">
      <c r="A14" t="s">
        <v>14</v>
      </c>
      <c r="B14" t="s">
        <v>15</v>
      </c>
      <c r="C14">
        <v>0</v>
      </c>
      <c r="E14">
        <v>9492.3700000000008</v>
      </c>
      <c r="H14">
        <v>0</v>
      </c>
    </row>
    <row r="15" spans="1:9">
      <c r="A15" t="s">
        <v>16</v>
      </c>
      <c r="B15" t="s">
        <v>17</v>
      </c>
      <c r="C15">
        <v>2</v>
      </c>
      <c r="E15">
        <v>8043.69</v>
      </c>
      <c r="H15">
        <v>1.536</v>
      </c>
    </row>
    <row r="16" spans="1:9">
      <c r="A16" t="s">
        <v>16</v>
      </c>
      <c r="B16" t="s">
        <v>17</v>
      </c>
      <c r="C16">
        <v>3</v>
      </c>
      <c r="E16">
        <v>8770.93</v>
      </c>
      <c r="H16">
        <v>1.6240000000000001</v>
      </c>
    </row>
    <row r="17" spans="1:8">
      <c r="A17" t="s">
        <v>16</v>
      </c>
      <c r="B17" t="s">
        <v>17</v>
      </c>
      <c r="C17">
        <v>1</v>
      </c>
      <c r="E17">
        <v>9620.2900000000009</v>
      </c>
      <c r="H17">
        <v>1.9850000000000001</v>
      </c>
    </row>
    <row r="18" spans="1:8">
      <c r="A18" t="s">
        <v>18</v>
      </c>
      <c r="B18" t="s">
        <v>19</v>
      </c>
      <c r="C18">
        <v>4</v>
      </c>
      <c r="E18">
        <v>9120.6299999999992</v>
      </c>
      <c r="H18">
        <v>1.2549999999999999</v>
      </c>
    </row>
    <row r="19" spans="1:8">
      <c r="A19" t="s">
        <v>18</v>
      </c>
      <c r="B19" t="s">
        <v>19</v>
      </c>
      <c r="C19">
        <v>3</v>
      </c>
      <c r="E19">
        <v>10654.62</v>
      </c>
      <c r="H19">
        <v>1.0860000000000001</v>
      </c>
    </row>
    <row r="20" spans="1:8">
      <c r="A20" t="s">
        <v>18</v>
      </c>
      <c r="B20" t="s">
        <v>19</v>
      </c>
      <c r="C20">
        <v>2</v>
      </c>
      <c r="E20">
        <v>11447.31</v>
      </c>
      <c r="H20">
        <v>0.76400000000000001</v>
      </c>
    </row>
    <row r="21" spans="1:8">
      <c r="A21" t="s">
        <v>20</v>
      </c>
      <c r="B21" t="s">
        <v>21</v>
      </c>
      <c r="C21">
        <v>2</v>
      </c>
      <c r="E21">
        <v>10623.53</v>
      </c>
      <c r="H21">
        <v>1.534</v>
      </c>
    </row>
    <row r="22" spans="1:8">
      <c r="A22" t="s">
        <v>20</v>
      </c>
      <c r="B22" t="s">
        <v>21</v>
      </c>
      <c r="C22">
        <v>0</v>
      </c>
      <c r="E22">
        <v>11752.62</v>
      </c>
      <c r="H22">
        <v>0</v>
      </c>
    </row>
    <row r="23" spans="1:8">
      <c r="A23" t="s">
        <v>20</v>
      </c>
      <c r="B23" t="s">
        <v>21</v>
      </c>
      <c r="C23">
        <v>1</v>
      </c>
      <c r="E23">
        <v>11786.05</v>
      </c>
      <c r="H23">
        <v>1.6839999999999999</v>
      </c>
    </row>
    <row r="24" spans="1:8">
      <c r="A24" t="s">
        <v>22</v>
      </c>
      <c r="B24" t="s">
        <v>23</v>
      </c>
      <c r="C24">
        <v>5</v>
      </c>
      <c r="E24">
        <v>12207.05</v>
      </c>
      <c r="H24">
        <v>1.19</v>
      </c>
    </row>
    <row r="25" spans="1:8">
      <c r="A25" t="s">
        <v>22</v>
      </c>
      <c r="B25" t="s">
        <v>23</v>
      </c>
      <c r="C25">
        <v>4</v>
      </c>
      <c r="E25">
        <v>12816.69</v>
      </c>
      <c r="H25">
        <v>1.0329999999999999</v>
      </c>
    </row>
    <row r="26" spans="1:8">
      <c r="A26" t="s">
        <v>22</v>
      </c>
      <c r="B26" t="s">
        <v>23</v>
      </c>
      <c r="C26">
        <v>3</v>
      </c>
      <c r="E26">
        <v>13699.07</v>
      </c>
      <c r="H26">
        <v>0.75700000000000001</v>
      </c>
    </row>
    <row r="27" spans="1:8">
      <c r="A27" t="s">
        <v>16</v>
      </c>
      <c r="B27" t="s">
        <v>24</v>
      </c>
      <c r="C27">
        <v>2</v>
      </c>
      <c r="E27">
        <v>13645.75</v>
      </c>
      <c r="H27">
        <v>1.3149999999999999</v>
      </c>
    </row>
    <row r="28" spans="1:8">
      <c r="A28" t="s">
        <v>16</v>
      </c>
      <c r="B28" t="s">
        <v>24</v>
      </c>
      <c r="C28">
        <v>1</v>
      </c>
      <c r="E28">
        <v>13981.67</v>
      </c>
      <c r="H28">
        <v>1.4410000000000001</v>
      </c>
    </row>
    <row r="29" spans="1:8">
      <c r="A29" t="s">
        <v>16</v>
      </c>
      <c r="B29" t="s">
        <v>24</v>
      </c>
      <c r="C29">
        <v>0</v>
      </c>
      <c r="E29">
        <v>14827.5</v>
      </c>
      <c r="H29">
        <v>0</v>
      </c>
    </row>
    <row r="30" spans="1:8">
      <c r="A30" t="s">
        <v>22</v>
      </c>
      <c r="B30" t="s">
        <v>25</v>
      </c>
      <c r="C30">
        <v>4</v>
      </c>
      <c r="E30">
        <v>14700.32</v>
      </c>
      <c r="H30">
        <v>0.99199999999999999</v>
      </c>
    </row>
    <row r="31" spans="1:8">
      <c r="A31" t="s">
        <v>26</v>
      </c>
      <c r="B31" t="s">
        <v>27</v>
      </c>
      <c r="C31">
        <v>2</v>
      </c>
      <c r="E31">
        <v>15054.07</v>
      </c>
      <c r="H31">
        <v>1.1619999999999999</v>
      </c>
    </row>
    <row r="32" spans="1:8">
      <c r="A32" t="s">
        <v>26</v>
      </c>
      <c r="B32" t="s">
        <v>27</v>
      </c>
      <c r="C32">
        <v>3</v>
      </c>
      <c r="E32">
        <v>16190.61</v>
      </c>
      <c r="H32">
        <v>1.333</v>
      </c>
    </row>
    <row r="33" spans="1:8">
      <c r="A33" t="s">
        <v>26</v>
      </c>
      <c r="B33" t="s">
        <v>27</v>
      </c>
      <c r="C33">
        <v>1</v>
      </c>
      <c r="E33">
        <v>16712.580000000002</v>
      </c>
      <c r="H33">
        <v>0.67600000000000005</v>
      </c>
    </row>
    <row r="34" spans="1:8">
      <c r="A34" t="s">
        <v>28</v>
      </c>
      <c r="B34" t="s">
        <v>29</v>
      </c>
      <c r="C34">
        <v>6</v>
      </c>
      <c r="E34">
        <v>15550.16</v>
      </c>
      <c r="H34">
        <v>1.1639999999999999</v>
      </c>
    </row>
    <row r="35" spans="1:8">
      <c r="A35" t="s">
        <v>28</v>
      </c>
      <c r="B35" t="s">
        <v>29</v>
      </c>
      <c r="C35">
        <v>5</v>
      </c>
      <c r="E35">
        <v>16240.13</v>
      </c>
      <c r="H35">
        <v>1.0409999999999999</v>
      </c>
    </row>
    <row r="36" spans="1:8">
      <c r="A36" t="s">
        <v>28</v>
      </c>
      <c r="B36" t="s">
        <v>29</v>
      </c>
      <c r="C36">
        <v>4</v>
      </c>
      <c r="E36">
        <v>17096.87</v>
      </c>
      <c r="H36">
        <v>0.83399999999999996</v>
      </c>
    </row>
    <row r="37" spans="1:8">
      <c r="A37" t="s">
        <v>26</v>
      </c>
      <c r="B37" t="s">
        <v>30</v>
      </c>
      <c r="C37">
        <v>2</v>
      </c>
      <c r="E37">
        <v>17045.97</v>
      </c>
      <c r="H37">
        <v>1.175</v>
      </c>
    </row>
    <row r="38" spans="1:8">
      <c r="A38" t="s">
        <v>28</v>
      </c>
      <c r="B38" t="s">
        <v>31</v>
      </c>
      <c r="C38">
        <v>5</v>
      </c>
      <c r="E38">
        <v>20055.71</v>
      </c>
      <c r="H38">
        <v>1.0069999999999999</v>
      </c>
    </row>
    <row r="39" spans="1:8">
      <c r="A39" t="s">
        <v>20</v>
      </c>
      <c r="B39" t="s">
        <v>32</v>
      </c>
      <c r="C39">
        <v>1</v>
      </c>
      <c r="E39">
        <v>20242.009999999998</v>
      </c>
      <c r="H39">
        <v>0.92700000000000005</v>
      </c>
    </row>
    <row r="40" spans="1:8">
      <c r="A40" t="s">
        <v>18</v>
      </c>
      <c r="B40" t="s">
        <v>33</v>
      </c>
      <c r="C40">
        <v>2</v>
      </c>
      <c r="E40">
        <v>20933.75</v>
      </c>
      <c r="H40">
        <v>1.343</v>
      </c>
    </row>
    <row r="41" spans="1:8">
      <c r="A41" t="s">
        <v>18</v>
      </c>
      <c r="B41" t="s">
        <v>33</v>
      </c>
      <c r="C41">
        <v>1</v>
      </c>
      <c r="E41">
        <v>22292.639999999999</v>
      </c>
      <c r="H41">
        <v>1.35</v>
      </c>
    </row>
    <row r="42" spans="1:8">
      <c r="A42" t="s">
        <v>18</v>
      </c>
      <c r="B42" t="s">
        <v>33</v>
      </c>
      <c r="C42">
        <v>0</v>
      </c>
      <c r="E42">
        <v>24173.68</v>
      </c>
      <c r="F42" t="s">
        <v>34</v>
      </c>
    </row>
    <row r="43" spans="1:8">
      <c r="A43" t="s">
        <v>14</v>
      </c>
      <c r="B43" t="s">
        <v>35</v>
      </c>
      <c r="C43">
        <v>4</v>
      </c>
      <c r="E43">
        <v>21643.09</v>
      </c>
      <c r="H43">
        <v>1.08</v>
      </c>
    </row>
    <row r="44" spans="1:8">
      <c r="A44" t="s">
        <v>14</v>
      </c>
      <c r="B44" t="s">
        <v>35</v>
      </c>
      <c r="C44">
        <v>2</v>
      </c>
      <c r="E44">
        <v>22343.14</v>
      </c>
      <c r="H44">
        <v>0.69699999999999995</v>
      </c>
    </row>
    <row r="45" spans="1:8">
      <c r="A45" t="s">
        <v>14</v>
      </c>
      <c r="B45" t="s">
        <v>35</v>
      </c>
      <c r="C45">
        <v>3</v>
      </c>
      <c r="E45">
        <v>22419.46</v>
      </c>
      <c r="H45">
        <v>1.07</v>
      </c>
    </row>
    <row r="46" spans="1:8">
      <c r="A46" t="s">
        <v>14</v>
      </c>
      <c r="B46" t="s">
        <v>36</v>
      </c>
      <c r="C46">
        <v>6</v>
      </c>
      <c r="E46">
        <v>22162.06</v>
      </c>
      <c r="H46">
        <v>1.0629999999999999</v>
      </c>
    </row>
    <row r="47" spans="1:8">
      <c r="A47" t="s">
        <v>14</v>
      </c>
      <c r="B47" t="s">
        <v>36</v>
      </c>
      <c r="C47">
        <v>5</v>
      </c>
      <c r="E47">
        <v>22518.880000000001</v>
      </c>
      <c r="H47">
        <v>0.99</v>
      </c>
    </row>
    <row r="48" spans="1:8">
      <c r="A48" t="s">
        <v>14</v>
      </c>
      <c r="B48" t="s">
        <v>36</v>
      </c>
      <c r="C48">
        <v>4</v>
      </c>
      <c r="E48">
        <v>23004.77</v>
      </c>
      <c r="H48" t="s">
        <v>37</v>
      </c>
    </row>
    <row r="49" spans="1:8">
      <c r="A49" t="s">
        <v>18</v>
      </c>
      <c r="B49" t="s">
        <v>38</v>
      </c>
      <c r="C49">
        <v>4</v>
      </c>
      <c r="E49">
        <v>23392.6</v>
      </c>
      <c r="H49">
        <v>0.95</v>
      </c>
    </row>
    <row r="50" spans="1:8">
      <c r="A50" t="s">
        <v>18</v>
      </c>
      <c r="B50" t="s">
        <v>39</v>
      </c>
      <c r="C50">
        <v>2</v>
      </c>
      <c r="E50">
        <v>23453.47</v>
      </c>
      <c r="H50">
        <v>1.1619999999999999</v>
      </c>
    </row>
    <row r="51" spans="1:8">
      <c r="A51" t="s">
        <v>14</v>
      </c>
      <c r="B51" t="s">
        <v>40</v>
      </c>
      <c r="C51">
        <v>0</v>
      </c>
    </row>
    <row r="52" spans="1:8">
      <c r="A52" t="s">
        <v>14</v>
      </c>
      <c r="B52" t="s">
        <v>40</v>
      </c>
      <c r="C52">
        <v>2</v>
      </c>
      <c r="E52">
        <v>24927.48</v>
      </c>
    </row>
    <row r="53" spans="1:8">
      <c r="A53" t="s">
        <v>14</v>
      </c>
      <c r="B53" t="s">
        <v>40</v>
      </c>
      <c r="C53">
        <v>1</v>
      </c>
      <c r="E53">
        <v>27560.59</v>
      </c>
    </row>
    <row r="54" spans="1:8">
      <c r="A54" t="s">
        <v>41</v>
      </c>
      <c r="B54" t="s">
        <v>42</v>
      </c>
      <c r="C54">
        <v>5</v>
      </c>
      <c r="E54">
        <v>25214.16</v>
      </c>
      <c r="H54">
        <v>1.5920000000000001</v>
      </c>
    </row>
    <row r="55" spans="1:8">
      <c r="A55" t="s">
        <v>41</v>
      </c>
      <c r="B55" t="s">
        <v>42</v>
      </c>
      <c r="C55">
        <v>4</v>
      </c>
      <c r="E55">
        <v>25464.49</v>
      </c>
      <c r="H55">
        <v>1.625</v>
      </c>
    </row>
    <row r="56" spans="1:8">
      <c r="A56" t="s">
        <v>41</v>
      </c>
      <c r="B56" t="s">
        <v>42</v>
      </c>
      <c r="C56">
        <v>3</v>
      </c>
      <c r="E56">
        <v>26035.56</v>
      </c>
      <c r="H56">
        <v>1.7370000000000001</v>
      </c>
    </row>
    <row r="57" spans="1:8">
      <c r="A57" t="s">
        <v>41</v>
      </c>
      <c r="B57" t="s">
        <v>42</v>
      </c>
      <c r="C57">
        <v>2</v>
      </c>
      <c r="E57">
        <v>26472.74</v>
      </c>
      <c r="H57">
        <v>1.992</v>
      </c>
    </row>
    <row r="58" spans="1:8">
      <c r="A58" t="s">
        <v>41</v>
      </c>
      <c r="B58" t="s">
        <v>42</v>
      </c>
      <c r="C58">
        <v>1</v>
      </c>
      <c r="E58">
        <v>26780.46</v>
      </c>
    </row>
    <row r="59" spans="1:8">
      <c r="A59" t="s">
        <v>14</v>
      </c>
      <c r="B59" t="s">
        <v>43</v>
      </c>
      <c r="C59">
        <v>5</v>
      </c>
      <c r="E59">
        <v>25602.6</v>
      </c>
    </row>
    <row r="60" spans="1:8">
      <c r="A60" t="s">
        <v>14</v>
      </c>
      <c r="B60" t="s">
        <v>43</v>
      </c>
      <c r="C60">
        <v>4</v>
      </c>
      <c r="E60">
        <v>25642.69</v>
      </c>
    </row>
    <row r="61" spans="1:8">
      <c r="A61" t="s">
        <v>14</v>
      </c>
      <c r="B61" t="s">
        <v>43</v>
      </c>
      <c r="C61">
        <v>3</v>
      </c>
      <c r="E61">
        <v>26075.7</v>
      </c>
    </row>
    <row r="62" spans="1:8">
      <c r="A62" t="s">
        <v>44</v>
      </c>
      <c r="B62" t="s">
        <v>45</v>
      </c>
      <c r="C62">
        <v>4</v>
      </c>
      <c r="E62">
        <v>26312.83</v>
      </c>
      <c r="H62">
        <v>1.486</v>
      </c>
    </row>
    <row r="63" spans="1:8">
      <c r="A63" t="s">
        <v>44</v>
      </c>
      <c r="B63" t="s">
        <v>45</v>
      </c>
      <c r="C63">
        <v>3</v>
      </c>
      <c r="E63">
        <v>27506.59</v>
      </c>
      <c r="H63">
        <v>1.425</v>
      </c>
    </row>
    <row r="64" spans="1:8">
      <c r="A64" t="s">
        <v>44</v>
      </c>
      <c r="B64" t="s">
        <v>45</v>
      </c>
      <c r="C64">
        <v>2</v>
      </c>
      <c r="E64">
        <v>28465.69</v>
      </c>
      <c r="H64">
        <v>1.3240000000000001</v>
      </c>
    </row>
    <row r="65" spans="1:8">
      <c r="A65" t="s">
        <v>44</v>
      </c>
      <c r="B65" t="s">
        <v>45</v>
      </c>
      <c r="C65">
        <v>1</v>
      </c>
      <c r="E65">
        <v>29118.49</v>
      </c>
      <c r="H65">
        <v>0.95299999999999996</v>
      </c>
    </row>
    <row r="66" spans="1:8">
      <c r="A66" t="s">
        <v>44</v>
      </c>
      <c r="B66" t="s">
        <v>45</v>
      </c>
      <c r="C66">
        <v>0</v>
      </c>
      <c r="E66">
        <v>29569.9</v>
      </c>
      <c r="H66">
        <v>0</v>
      </c>
    </row>
    <row r="67" spans="1:8">
      <c r="A67" t="s">
        <v>44</v>
      </c>
      <c r="B67" t="s">
        <v>46</v>
      </c>
      <c r="C67">
        <v>5</v>
      </c>
      <c r="E67">
        <v>26816.23</v>
      </c>
      <c r="H67">
        <v>1.3939999999999999</v>
      </c>
    </row>
    <row r="68" spans="1:8">
      <c r="A68" t="s">
        <v>44</v>
      </c>
      <c r="B68" t="s">
        <v>46</v>
      </c>
      <c r="C68">
        <v>4</v>
      </c>
      <c r="E68">
        <v>28014.79</v>
      </c>
      <c r="H68">
        <v>1.3640000000000001</v>
      </c>
    </row>
    <row r="69" spans="1:8">
      <c r="A69" t="s">
        <v>44</v>
      </c>
      <c r="B69" t="s">
        <v>46</v>
      </c>
      <c r="C69">
        <v>3</v>
      </c>
      <c r="E69">
        <v>28890.47</v>
      </c>
      <c r="H69">
        <v>1.2929999999999999</v>
      </c>
    </row>
    <row r="70" spans="1:8">
      <c r="A70" t="s">
        <v>44</v>
      </c>
      <c r="B70" t="s">
        <v>46</v>
      </c>
      <c r="C70">
        <v>2</v>
      </c>
      <c r="E70">
        <v>29427.32</v>
      </c>
      <c r="H70">
        <v>1.1639999999999999</v>
      </c>
    </row>
    <row r="71" spans="1:8">
      <c r="A71" t="s">
        <v>44</v>
      </c>
      <c r="B71" t="s">
        <v>46</v>
      </c>
      <c r="C71">
        <v>1</v>
      </c>
      <c r="E71">
        <v>29693.57</v>
      </c>
      <c r="H71">
        <v>0.56699999999999995</v>
      </c>
    </row>
    <row r="72" spans="1:8">
      <c r="A72" t="s">
        <v>47</v>
      </c>
      <c r="B72" t="s">
        <v>48</v>
      </c>
      <c r="C72">
        <v>2</v>
      </c>
    </row>
    <row r="73" spans="1:8">
      <c r="A73" t="s">
        <v>47</v>
      </c>
      <c r="B73" t="s">
        <v>48</v>
      </c>
      <c r="C73">
        <v>4</v>
      </c>
      <c r="E73">
        <v>27289.24</v>
      </c>
    </row>
    <row r="74" spans="1:8">
      <c r="A74" t="s">
        <v>47</v>
      </c>
      <c r="B74" t="s">
        <v>48</v>
      </c>
      <c r="C74">
        <v>3</v>
      </c>
      <c r="E74">
        <v>27516.57</v>
      </c>
    </row>
    <row r="75" spans="1:8">
      <c r="A75" t="s">
        <v>44</v>
      </c>
      <c r="B75" t="s">
        <v>49</v>
      </c>
      <c r="C75">
        <v>5</v>
      </c>
      <c r="E75">
        <v>28495.1</v>
      </c>
      <c r="H75">
        <v>1.23</v>
      </c>
    </row>
    <row r="76" spans="1:8">
      <c r="A76" t="s">
        <v>44</v>
      </c>
      <c r="B76" t="s">
        <v>49</v>
      </c>
      <c r="C76">
        <v>4</v>
      </c>
      <c r="E76">
        <v>29890.91</v>
      </c>
    </row>
    <row r="77" spans="1:8">
      <c r="A77" t="s">
        <v>44</v>
      </c>
      <c r="B77" t="s">
        <v>49</v>
      </c>
      <c r="C77">
        <v>3</v>
      </c>
      <c r="E77">
        <v>31852.9</v>
      </c>
      <c r="H77">
        <v>0.86799999999999999</v>
      </c>
    </row>
    <row r="78" spans="1:8">
      <c r="A78" t="s">
        <v>44</v>
      </c>
      <c r="B78" t="s">
        <v>50</v>
      </c>
      <c r="C78">
        <v>6</v>
      </c>
      <c r="E78">
        <v>28571.89</v>
      </c>
      <c r="H78">
        <v>1.379</v>
      </c>
    </row>
    <row r="79" spans="1:8">
      <c r="A79" t="s">
        <v>44</v>
      </c>
      <c r="B79" t="s">
        <v>50</v>
      </c>
      <c r="C79">
        <v>5</v>
      </c>
      <c r="E79">
        <v>30279.68</v>
      </c>
      <c r="H79">
        <v>1.2629999999999999</v>
      </c>
    </row>
    <row r="80" spans="1:8">
      <c r="A80" t="s">
        <v>44</v>
      </c>
      <c r="B80" t="s">
        <v>50</v>
      </c>
      <c r="C80">
        <v>3</v>
      </c>
      <c r="E80">
        <v>30537.06</v>
      </c>
      <c r="H80">
        <v>0.94399999999999995</v>
      </c>
    </row>
    <row r="81" spans="1:8">
      <c r="A81" t="s">
        <v>44</v>
      </c>
      <c r="B81" t="s">
        <v>50</v>
      </c>
      <c r="C81">
        <v>2</v>
      </c>
      <c r="E81">
        <v>30958.799999999999</v>
      </c>
      <c r="H81">
        <v>0.375</v>
      </c>
    </row>
    <row r="82" spans="1:8">
      <c r="A82" t="s">
        <v>44</v>
      </c>
      <c r="B82" t="s">
        <v>50</v>
      </c>
      <c r="C82">
        <v>4</v>
      </c>
      <c r="E82">
        <v>31345.79</v>
      </c>
      <c r="H82">
        <v>1.111</v>
      </c>
    </row>
    <row r="83" spans="1:8">
      <c r="A83" t="s">
        <v>41</v>
      </c>
      <c r="B83" t="s">
        <v>51</v>
      </c>
      <c r="C83">
        <v>6</v>
      </c>
      <c r="E83">
        <v>29160.46</v>
      </c>
      <c r="H83">
        <v>1.462</v>
      </c>
    </row>
    <row r="84" spans="1:8">
      <c r="A84" t="s">
        <v>41</v>
      </c>
      <c r="B84" t="s">
        <v>51</v>
      </c>
      <c r="C84">
        <v>5</v>
      </c>
      <c r="E84">
        <v>29468.04</v>
      </c>
      <c r="H84">
        <v>1.474</v>
      </c>
    </row>
    <row r="85" spans="1:8">
      <c r="A85" t="s">
        <v>41</v>
      </c>
      <c r="B85" t="s">
        <v>51</v>
      </c>
      <c r="C85">
        <v>4</v>
      </c>
      <c r="E85">
        <v>29594.560000000001</v>
      </c>
      <c r="H85">
        <v>1.37</v>
      </c>
    </row>
    <row r="86" spans="1:8">
      <c r="A86" t="s">
        <v>41</v>
      </c>
      <c r="B86" t="s">
        <v>51</v>
      </c>
      <c r="C86">
        <v>3</v>
      </c>
      <c r="E86">
        <v>29891.9</v>
      </c>
    </row>
    <row r="87" spans="1:8">
      <c r="A87" t="s">
        <v>41</v>
      </c>
      <c r="B87" t="s">
        <v>51</v>
      </c>
      <c r="C87">
        <v>2</v>
      </c>
      <c r="E87">
        <v>30018.34</v>
      </c>
      <c r="H87">
        <v>1.4970000000000001</v>
      </c>
    </row>
    <row r="88" spans="1:8">
      <c r="A88" t="s">
        <v>41</v>
      </c>
      <c r="B88" t="s">
        <v>51</v>
      </c>
      <c r="C88">
        <v>1</v>
      </c>
      <c r="E88">
        <v>30085.38</v>
      </c>
    </row>
    <row r="89" spans="1:8">
      <c r="A89" t="s">
        <v>41</v>
      </c>
      <c r="B89" t="s">
        <v>51</v>
      </c>
      <c r="C89">
        <v>0</v>
      </c>
      <c r="E89">
        <v>30115.25</v>
      </c>
      <c r="H89">
        <v>0</v>
      </c>
    </row>
    <row r="90" spans="1:8">
      <c r="A90" t="s">
        <v>14</v>
      </c>
      <c r="B90" t="s">
        <v>52</v>
      </c>
      <c r="C90">
        <v>1</v>
      </c>
    </row>
    <row r="91" spans="1:8">
      <c r="A91" t="s">
        <v>14</v>
      </c>
      <c r="B91" t="s">
        <v>52</v>
      </c>
      <c r="C91">
        <v>2</v>
      </c>
      <c r="E91">
        <v>29352.41</v>
      </c>
    </row>
    <row r="92" spans="1:8">
      <c r="A92" t="s">
        <v>14</v>
      </c>
      <c r="B92" t="s">
        <v>52</v>
      </c>
      <c r="C92">
        <v>3</v>
      </c>
      <c r="E92">
        <v>29979</v>
      </c>
    </row>
    <row r="93" spans="1:8">
      <c r="A93" t="s">
        <v>41</v>
      </c>
      <c r="B93" t="s">
        <v>53</v>
      </c>
      <c r="C93">
        <v>4</v>
      </c>
      <c r="E93">
        <v>30250.400000000001</v>
      </c>
      <c r="H93">
        <v>1.6559999999999999</v>
      </c>
    </row>
    <row r="94" spans="1:8">
      <c r="A94" t="s">
        <v>41</v>
      </c>
      <c r="B94" t="s">
        <v>53</v>
      </c>
      <c r="C94">
        <v>3</v>
      </c>
      <c r="E94">
        <v>31384.639999999999</v>
      </c>
      <c r="H94">
        <v>1.895</v>
      </c>
    </row>
    <row r="95" spans="1:8">
      <c r="A95" t="s">
        <v>41</v>
      </c>
      <c r="B95" t="s">
        <v>53</v>
      </c>
      <c r="C95">
        <v>2</v>
      </c>
      <c r="E95">
        <v>32343.3</v>
      </c>
      <c r="H95">
        <v>2.0590000000000002</v>
      </c>
    </row>
    <row r="96" spans="1:8">
      <c r="A96" t="s">
        <v>44</v>
      </c>
      <c r="B96" t="s">
        <v>54</v>
      </c>
      <c r="C96">
        <v>4</v>
      </c>
      <c r="E96">
        <v>30348.45</v>
      </c>
      <c r="H96">
        <v>1.276</v>
      </c>
    </row>
    <row r="97" spans="1:8">
      <c r="A97" t="s">
        <v>44</v>
      </c>
      <c r="B97" t="s">
        <v>54</v>
      </c>
      <c r="C97">
        <v>3</v>
      </c>
      <c r="E97">
        <v>32391.95</v>
      </c>
      <c r="H97">
        <v>1.133</v>
      </c>
    </row>
    <row r="98" spans="1:8">
      <c r="A98" t="s">
        <v>44</v>
      </c>
      <c r="B98" t="s">
        <v>54</v>
      </c>
      <c r="C98">
        <v>2</v>
      </c>
      <c r="E98">
        <v>33172.019999999997</v>
      </c>
      <c r="H98">
        <v>1.026</v>
      </c>
    </row>
    <row r="99" spans="1:8">
      <c r="A99" t="s">
        <v>44</v>
      </c>
      <c r="B99" t="s">
        <v>55</v>
      </c>
      <c r="C99">
        <v>3</v>
      </c>
      <c r="E99">
        <v>31044.35</v>
      </c>
      <c r="H99">
        <v>1.204</v>
      </c>
    </row>
    <row r="100" spans="1:8">
      <c r="A100" t="s">
        <v>44</v>
      </c>
      <c r="B100" t="s">
        <v>55</v>
      </c>
      <c r="C100">
        <v>2</v>
      </c>
      <c r="E100">
        <v>32207.65</v>
      </c>
      <c r="H100">
        <v>1.032</v>
      </c>
    </row>
    <row r="101" spans="1:8">
      <c r="A101" t="s">
        <v>44</v>
      </c>
      <c r="B101" t="s">
        <v>55</v>
      </c>
      <c r="C101">
        <v>1</v>
      </c>
      <c r="E101">
        <v>33580.22</v>
      </c>
      <c r="H101">
        <v>0.52200000000000002</v>
      </c>
    </row>
    <row r="102" spans="1:8">
      <c r="A102" t="s">
        <v>56</v>
      </c>
      <c r="B102" t="s">
        <v>57</v>
      </c>
      <c r="C102">
        <v>2</v>
      </c>
      <c r="E102">
        <v>31186.03</v>
      </c>
      <c r="H102">
        <v>2.0339999999999998</v>
      </c>
    </row>
    <row r="103" spans="1:8">
      <c r="A103" t="s">
        <v>41</v>
      </c>
      <c r="B103" t="s">
        <v>58</v>
      </c>
      <c r="C103">
        <v>3</v>
      </c>
      <c r="E103">
        <v>33430.65</v>
      </c>
      <c r="H103">
        <v>1.496</v>
      </c>
    </row>
    <row r="104" spans="1:8">
      <c r="A104" t="s">
        <v>41</v>
      </c>
      <c r="B104" t="s">
        <v>58</v>
      </c>
      <c r="C104">
        <v>4</v>
      </c>
      <c r="E104">
        <v>33446.839999999997</v>
      </c>
      <c r="H104">
        <v>1.492</v>
      </c>
    </row>
    <row r="105" spans="1:8">
      <c r="A105" t="s">
        <v>41</v>
      </c>
      <c r="B105" t="s">
        <v>58</v>
      </c>
      <c r="C105">
        <v>2</v>
      </c>
      <c r="E105">
        <v>33728.660000000003</v>
      </c>
      <c r="H105">
        <v>1.4770000000000001</v>
      </c>
    </row>
    <row r="106" spans="1:8">
      <c r="A106" t="s">
        <v>41</v>
      </c>
      <c r="B106" t="s">
        <v>58</v>
      </c>
      <c r="C106">
        <v>1</v>
      </c>
      <c r="E106">
        <v>34091.06</v>
      </c>
      <c r="H106">
        <v>1.522</v>
      </c>
    </row>
    <row r="107" spans="1:8">
      <c r="A107" t="s">
        <v>41</v>
      </c>
      <c r="B107" t="s">
        <v>58</v>
      </c>
      <c r="C107">
        <v>0</v>
      </c>
      <c r="E107">
        <v>34379.64</v>
      </c>
      <c r="H107">
        <v>0</v>
      </c>
    </row>
    <row r="108" spans="1:8">
      <c r="A108" t="s">
        <v>41</v>
      </c>
      <c r="B108" t="s">
        <v>59</v>
      </c>
      <c r="C108">
        <v>3</v>
      </c>
      <c r="E108">
        <v>34072.410000000003</v>
      </c>
      <c r="H108">
        <v>1.6459999999999999</v>
      </c>
    </row>
    <row r="109" spans="1:8">
      <c r="A109" t="s">
        <v>41</v>
      </c>
      <c r="B109" t="s">
        <v>59</v>
      </c>
      <c r="C109">
        <v>2</v>
      </c>
      <c r="E109">
        <v>34881.919999999998</v>
      </c>
      <c r="H109">
        <v>1.8080000000000001</v>
      </c>
    </row>
    <row r="110" spans="1:8">
      <c r="A110" t="s">
        <v>41</v>
      </c>
      <c r="B110" t="s">
        <v>59</v>
      </c>
      <c r="C110">
        <v>1</v>
      </c>
      <c r="E110">
        <v>35046.769999999997</v>
      </c>
      <c r="H110">
        <v>2.3849999999999998</v>
      </c>
    </row>
    <row r="111" spans="1:8">
      <c r="A111" t="s">
        <v>41</v>
      </c>
      <c r="B111" t="s">
        <v>60</v>
      </c>
      <c r="C111">
        <v>5</v>
      </c>
      <c r="E111">
        <v>34772.550000000003</v>
      </c>
      <c r="H111">
        <v>1.4019999999999999</v>
      </c>
    </row>
    <row r="112" spans="1:8">
      <c r="A112" t="s">
        <v>41</v>
      </c>
      <c r="B112" t="s">
        <v>60</v>
      </c>
      <c r="C112">
        <v>4</v>
      </c>
      <c r="E112">
        <v>35471.15</v>
      </c>
      <c r="H112">
        <v>1.3640000000000001</v>
      </c>
    </row>
    <row r="113" spans="1:8">
      <c r="A113" t="s">
        <v>41</v>
      </c>
      <c r="B113" t="s">
        <v>60</v>
      </c>
      <c r="C113">
        <v>3</v>
      </c>
      <c r="E113">
        <v>35806.620000000003</v>
      </c>
      <c r="H113">
        <v>1.276</v>
      </c>
    </row>
    <row r="114" spans="1:8">
      <c r="A114" t="s">
        <v>41</v>
      </c>
      <c r="B114" t="s">
        <v>60</v>
      </c>
      <c r="C114">
        <v>2</v>
      </c>
      <c r="E114">
        <v>35963.870000000003</v>
      </c>
      <c r="H114">
        <v>1.069</v>
      </c>
    </row>
    <row r="115" spans="1:8">
      <c r="A115" t="s">
        <v>41</v>
      </c>
      <c r="B115" t="s">
        <v>60</v>
      </c>
      <c r="C115">
        <v>1</v>
      </c>
      <c r="E115">
        <v>36238.769999999997</v>
      </c>
      <c r="H115">
        <v>0.14499999999999999</v>
      </c>
    </row>
    <row r="116" spans="1:8">
      <c r="A116" t="s">
        <v>56</v>
      </c>
      <c r="B116" t="s">
        <v>61</v>
      </c>
      <c r="C116">
        <v>4</v>
      </c>
      <c r="E116">
        <v>36542.620000000003</v>
      </c>
      <c r="H116">
        <v>1.4810000000000001</v>
      </c>
    </row>
    <row r="117" spans="1:8">
      <c r="A117" t="s">
        <v>56</v>
      </c>
      <c r="B117" t="s">
        <v>61</v>
      </c>
      <c r="C117">
        <v>3</v>
      </c>
      <c r="E117">
        <v>37367.019999999997</v>
      </c>
      <c r="H117">
        <v>1.379</v>
      </c>
    </row>
    <row r="118" spans="1:8">
      <c r="A118" t="s">
        <v>56</v>
      </c>
      <c r="B118" t="s">
        <v>61</v>
      </c>
      <c r="C118">
        <v>2</v>
      </c>
      <c r="E118">
        <v>37667.86</v>
      </c>
      <c r="H118">
        <v>1.4419999999999999</v>
      </c>
    </row>
    <row r="119" spans="1:8">
      <c r="A119" t="s">
        <v>56</v>
      </c>
      <c r="B119" t="s">
        <v>61</v>
      </c>
      <c r="C119">
        <v>0</v>
      </c>
      <c r="E119">
        <v>37802.230000000003</v>
      </c>
      <c r="H119">
        <v>0</v>
      </c>
    </row>
    <row r="120" spans="1:8">
      <c r="A120" t="s">
        <v>56</v>
      </c>
      <c r="B120" t="s">
        <v>61</v>
      </c>
      <c r="C120">
        <v>1</v>
      </c>
      <c r="E120">
        <v>38200.400000000001</v>
      </c>
      <c r="H120">
        <v>1.569</v>
      </c>
    </row>
    <row r="121" spans="1:8">
      <c r="A121" t="s">
        <v>56</v>
      </c>
      <c r="B121" t="s">
        <v>62</v>
      </c>
      <c r="C121">
        <v>3</v>
      </c>
      <c r="E121">
        <v>36760.339999999997</v>
      </c>
      <c r="H121">
        <v>1.4259999999999999</v>
      </c>
    </row>
    <row r="122" spans="1:8">
      <c r="A122" t="s">
        <v>56</v>
      </c>
      <c r="B122" t="s">
        <v>62</v>
      </c>
      <c r="C122">
        <v>2</v>
      </c>
      <c r="E122">
        <v>36965.279999999999</v>
      </c>
      <c r="H122">
        <v>1.173</v>
      </c>
    </row>
    <row r="123" spans="1:8">
      <c r="A123" t="s">
        <v>56</v>
      </c>
      <c r="B123" t="s">
        <v>62</v>
      </c>
      <c r="C123">
        <v>1</v>
      </c>
      <c r="E123">
        <v>37619.519999999997</v>
      </c>
      <c r="H123">
        <v>0.75600000000000001</v>
      </c>
    </row>
    <row r="124" spans="1:8">
      <c r="A124" t="s">
        <v>56</v>
      </c>
      <c r="B124" t="s">
        <v>63</v>
      </c>
      <c r="C124">
        <v>2</v>
      </c>
      <c r="E124">
        <v>37118.9</v>
      </c>
      <c r="H124">
        <v>1.4690000000000001</v>
      </c>
    </row>
    <row r="125" spans="1:8">
      <c r="A125" t="s">
        <v>56</v>
      </c>
      <c r="B125" t="s">
        <v>63</v>
      </c>
      <c r="C125">
        <v>1</v>
      </c>
      <c r="E125">
        <v>37346.74</v>
      </c>
      <c r="H125">
        <v>1.3109999999999999</v>
      </c>
    </row>
    <row r="126" spans="1:8">
      <c r="A126" t="s">
        <v>56</v>
      </c>
      <c r="B126" t="s">
        <v>63</v>
      </c>
      <c r="C126">
        <v>0</v>
      </c>
      <c r="E126">
        <v>37472.879999999997</v>
      </c>
      <c r="H126">
        <v>0</v>
      </c>
    </row>
    <row r="127" spans="1:8">
      <c r="A127" t="s">
        <v>64</v>
      </c>
      <c r="B127" t="s">
        <v>65</v>
      </c>
      <c r="C127">
        <v>4</v>
      </c>
      <c r="E127">
        <v>38243.379999999997</v>
      </c>
      <c r="H127">
        <v>1.107</v>
      </c>
    </row>
    <row r="128" spans="1:8">
      <c r="A128" t="s">
        <v>64</v>
      </c>
      <c r="B128" t="s">
        <v>65</v>
      </c>
      <c r="C128">
        <v>3</v>
      </c>
      <c r="E128">
        <v>39433.699999999997</v>
      </c>
      <c r="H128">
        <v>0.96799999999999997</v>
      </c>
    </row>
    <row r="129" spans="1:8">
      <c r="A129" t="s">
        <v>64</v>
      </c>
      <c r="B129" t="s">
        <v>65</v>
      </c>
      <c r="C129">
        <v>2</v>
      </c>
      <c r="E129">
        <v>40433.230000000003</v>
      </c>
      <c r="H129">
        <v>0.88900000000000001</v>
      </c>
    </row>
    <row r="130" spans="1:8">
      <c r="A130" t="s">
        <v>64</v>
      </c>
      <c r="B130" t="s">
        <v>66</v>
      </c>
      <c r="C130">
        <v>5</v>
      </c>
      <c r="E130">
        <v>38297.089999999997</v>
      </c>
      <c r="H130">
        <v>1.048</v>
      </c>
    </row>
    <row r="131" spans="1:8">
      <c r="A131" t="s">
        <v>64</v>
      </c>
      <c r="B131" t="s">
        <v>66</v>
      </c>
      <c r="C131">
        <v>6</v>
      </c>
      <c r="E131">
        <v>38897.5</v>
      </c>
      <c r="H131">
        <v>1.1739999999999999</v>
      </c>
    </row>
    <row r="132" spans="1:8">
      <c r="A132" t="s">
        <v>64</v>
      </c>
      <c r="B132" t="s">
        <v>66</v>
      </c>
      <c r="C132">
        <v>4</v>
      </c>
      <c r="E132">
        <v>39273.279999999999</v>
      </c>
      <c r="H132">
        <v>0.89500000000000002</v>
      </c>
    </row>
    <row r="133" spans="1:8">
      <c r="A133" t="s">
        <v>56</v>
      </c>
      <c r="B133" t="s">
        <v>67</v>
      </c>
      <c r="C133">
        <v>1</v>
      </c>
      <c r="E133">
        <v>38587.14</v>
      </c>
      <c r="H133">
        <v>1.5660000000000001</v>
      </c>
    </row>
    <row r="134" spans="1:8">
      <c r="A134" t="s">
        <v>56</v>
      </c>
      <c r="B134" t="s">
        <v>68</v>
      </c>
      <c r="C134">
        <v>3</v>
      </c>
      <c r="E134">
        <v>38706.36</v>
      </c>
      <c r="H134">
        <v>1.631</v>
      </c>
    </row>
    <row r="135" spans="1:8">
      <c r="A135" t="s">
        <v>56</v>
      </c>
      <c r="B135" t="s">
        <v>68</v>
      </c>
      <c r="C135">
        <v>2</v>
      </c>
      <c r="E135">
        <v>39008.620000000003</v>
      </c>
      <c r="H135">
        <v>1.7130000000000001</v>
      </c>
    </row>
    <row r="136" spans="1:8">
      <c r="A136" t="s">
        <v>56</v>
      </c>
      <c r="B136" t="s">
        <v>68</v>
      </c>
      <c r="C136">
        <v>1</v>
      </c>
      <c r="E136">
        <v>39773.49</v>
      </c>
      <c r="H136">
        <v>2.3149999999999999</v>
      </c>
    </row>
    <row r="137" spans="1:8">
      <c r="A137" t="s">
        <v>64</v>
      </c>
      <c r="B137" t="s">
        <v>69</v>
      </c>
      <c r="C137">
        <v>4</v>
      </c>
      <c r="E137">
        <v>39037.18</v>
      </c>
      <c r="H137">
        <v>1.115</v>
      </c>
    </row>
    <row r="138" spans="1:8">
      <c r="A138" t="s">
        <v>64</v>
      </c>
      <c r="B138" t="s">
        <v>70</v>
      </c>
      <c r="C138">
        <v>5</v>
      </c>
      <c r="E138">
        <v>39450.660000000003</v>
      </c>
      <c r="H138">
        <v>1.1419999999999999</v>
      </c>
    </row>
    <row r="139" spans="1:8">
      <c r="A139" t="s">
        <v>64</v>
      </c>
      <c r="B139" t="s">
        <v>70</v>
      </c>
      <c r="C139">
        <v>3</v>
      </c>
      <c r="E139">
        <v>40235.39</v>
      </c>
      <c r="H139">
        <v>0.89</v>
      </c>
    </row>
    <row r="140" spans="1:8">
      <c r="A140" t="s">
        <v>64</v>
      </c>
      <c r="B140" t="s">
        <v>70</v>
      </c>
      <c r="C140">
        <v>4</v>
      </c>
      <c r="E140">
        <v>40276.61</v>
      </c>
      <c r="H140">
        <v>1.0349999999999999</v>
      </c>
    </row>
    <row r="141" spans="1:8">
      <c r="A141" t="s">
        <v>71</v>
      </c>
      <c r="B141" t="s">
        <v>72</v>
      </c>
      <c r="C141">
        <v>2</v>
      </c>
      <c r="E141">
        <v>39742.03</v>
      </c>
      <c r="H141">
        <v>1.2989999999999999</v>
      </c>
    </row>
    <row r="142" spans="1:8">
      <c r="A142" t="s">
        <v>71</v>
      </c>
      <c r="B142" t="s">
        <v>72</v>
      </c>
      <c r="C142">
        <v>0</v>
      </c>
      <c r="E142">
        <v>39894.5</v>
      </c>
      <c r="H142">
        <v>0</v>
      </c>
    </row>
    <row r="143" spans="1:8">
      <c r="A143" t="s">
        <v>71</v>
      </c>
      <c r="B143" t="s">
        <v>72</v>
      </c>
      <c r="C143">
        <v>1</v>
      </c>
      <c r="E143">
        <v>39916.54</v>
      </c>
      <c r="H143">
        <v>1.6060000000000001</v>
      </c>
    </row>
    <row r="144" spans="1:8">
      <c r="B144" t="s">
        <v>73</v>
      </c>
      <c r="C144">
        <v>4</v>
      </c>
      <c r="E144">
        <v>40439.25</v>
      </c>
      <c r="H144">
        <v>1.196</v>
      </c>
    </row>
    <row r="145" spans="1:8">
      <c r="A145" t="s">
        <v>64</v>
      </c>
      <c r="B145" t="s">
        <v>74</v>
      </c>
      <c r="C145">
        <v>5</v>
      </c>
      <c r="E145">
        <v>40616.22</v>
      </c>
      <c r="H145">
        <v>1.02</v>
      </c>
    </row>
    <row r="146" spans="1:8">
      <c r="A146" t="s">
        <v>71</v>
      </c>
      <c r="B146" t="s">
        <v>75</v>
      </c>
      <c r="C146">
        <v>3</v>
      </c>
      <c r="E146">
        <v>40768.15</v>
      </c>
      <c r="H146">
        <v>1.159</v>
      </c>
    </row>
    <row r="147" spans="1:8">
      <c r="A147" t="s">
        <v>71</v>
      </c>
      <c r="B147" t="s">
        <v>75</v>
      </c>
      <c r="C147">
        <v>1</v>
      </c>
      <c r="E147">
        <v>41016.65</v>
      </c>
      <c r="H147">
        <v>0.89500000000000002</v>
      </c>
    </row>
    <row r="148" spans="1:8">
      <c r="A148" t="s">
        <v>71</v>
      </c>
      <c r="B148" t="s">
        <v>75</v>
      </c>
      <c r="C148">
        <v>2</v>
      </c>
      <c r="E148">
        <v>42007.26</v>
      </c>
      <c r="H148">
        <v>1.0069999999999999</v>
      </c>
    </row>
    <row r="149" spans="1:8">
      <c r="A149" t="s">
        <v>64</v>
      </c>
      <c r="B149" t="s">
        <v>76</v>
      </c>
      <c r="C149">
        <v>3</v>
      </c>
      <c r="E149">
        <v>40948.65</v>
      </c>
      <c r="H149">
        <v>1.137</v>
      </c>
    </row>
    <row r="150" spans="1:8">
      <c r="A150" t="s">
        <v>77</v>
      </c>
      <c r="B150" t="s">
        <v>78</v>
      </c>
      <c r="C150">
        <v>2</v>
      </c>
      <c r="E150">
        <v>41182.94</v>
      </c>
      <c r="H150">
        <v>0.88700000000000001</v>
      </c>
    </row>
    <row r="151" spans="1:8">
      <c r="A151" t="s">
        <v>77</v>
      </c>
      <c r="B151" t="s">
        <v>78</v>
      </c>
      <c r="C151">
        <v>3</v>
      </c>
      <c r="E151">
        <v>41260.04</v>
      </c>
      <c r="H151">
        <v>1.2350000000000001</v>
      </c>
    </row>
    <row r="152" spans="1:8">
      <c r="A152" t="s">
        <v>77</v>
      </c>
      <c r="B152" t="s">
        <v>78</v>
      </c>
      <c r="C152">
        <v>4</v>
      </c>
      <c r="E152">
        <v>42346.9</v>
      </c>
      <c r="H152">
        <v>1.2470000000000001</v>
      </c>
    </row>
    <row r="153" spans="1:8">
      <c r="A153" t="s">
        <v>79</v>
      </c>
      <c r="B153" t="s">
        <v>80</v>
      </c>
      <c r="C153">
        <v>5</v>
      </c>
      <c r="E153">
        <v>41256.400000000001</v>
      </c>
    </row>
    <row r="154" spans="1:8">
      <c r="A154" t="s">
        <v>79</v>
      </c>
      <c r="B154" t="s">
        <v>80</v>
      </c>
      <c r="C154">
        <v>4</v>
      </c>
      <c r="E154">
        <v>43018.57</v>
      </c>
    </row>
    <row r="155" spans="1:8">
      <c r="A155" t="s">
        <v>79</v>
      </c>
      <c r="B155" t="s">
        <v>80</v>
      </c>
      <c r="C155">
        <v>2</v>
      </c>
      <c r="E155">
        <v>43892.09</v>
      </c>
    </row>
    <row r="156" spans="1:8">
      <c r="A156" t="s">
        <v>79</v>
      </c>
      <c r="B156" t="s">
        <v>80</v>
      </c>
      <c r="C156">
        <v>3</v>
      </c>
      <c r="E156">
        <v>44176.23</v>
      </c>
    </row>
    <row r="157" spans="1:8">
      <c r="A157" t="s">
        <v>79</v>
      </c>
      <c r="B157" t="s">
        <v>80</v>
      </c>
      <c r="C157">
        <v>1</v>
      </c>
      <c r="E157">
        <v>44343.91</v>
      </c>
    </row>
    <row r="158" spans="1:8">
      <c r="A158" t="s">
        <v>77</v>
      </c>
      <c r="B158" t="s">
        <v>81</v>
      </c>
      <c r="C158">
        <v>3</v>
      </c>
      <c r="E158">
        <v>41482.660000000003</v>
      </c>
      <c r="H158">
        <v>1.286</v>
      </c>
    </row>
    <row r="159" spans="1:8">
      <c r="A159" t="s">
        <v>77</v>
      </c>
      <c r="B159" t="s">
        <v>81</v>
      </c>
      <c r="C159">
        <v>2</v>
      </c>
      <c r="E159">
        <v>42533.81</v>
      </c>
      <c r="H159">
        <v>1.0249999999999999</v>
      </c>
    </row>
    <row r="160" spans="1:8">
      <c r="A160" t="s">
        <v>77</v>
      </c>
      <c r="B160" t="s">
        <v>81</v>
      </c>
      <c r="C160">
        <v>1</v>
      </c>
      <c r="E160">
        <v>42894.42</v>
      </c>
      <c r="H160">
        <v>0.81</v>
      </c>
    </row>
    <row r="161" spans="1:8">
      <c r="A161" t="s">
        <v>82</v>
      </c>
      <c r="B161" t="s">
        <v>83</v>
      </c>
      <c r="C161">
        <v>6</v>
      </c>
      <c r="E161">
        <v>41577.75</v>
      </c>
      <c r="H161">
        <v>1.0129999999999999</v>
      </c>
    </row>
    <row r="162" spans="1:8">
      <c r="A162" t="s">
        <v>82</v>
      </c>
      <c r="B162" t="s">
        <v>83</v>
      </c>
      <c r="C162">
        <v>7</v>
      </c>
      <c r="E162">
        <v>42260.53</v>
      </c>
      <c r="H162">
        <v>1.1459999999999999</v>
      </c>
    </row>
    <row r="163" spans="1:8">
      <c r="A163" t="s">
        <v>82</v>
      </c>
      <c r="B163" t="s">
        <v>83</v>
      </c>
      <c r="C163">
        <v>5</v>
      </c>
      <c r="E163">
        <v>42978.28</v>
      </c>
      <c r="H163">
        <v>0.86099999999999999</v>
      </c>
    </row>
    <row r="164" spans="1:8">
      <c r="A164" t="s">
        <v>82</v>
      </c>
      <c r="B164" t="s">
        <v>84</v>
      </c>
      <c r="C164">
        <v>5</v>
      </c>
      <c r="E164">
        <v>41739.300000000003</v>
      </c>
      <c r="H164">
        <v>1.1970000000000001</v>
      </c>
    </row>
    <row r="165" spans="1:8">
      <c r="A165" t="s">
        <v>82</v>
      </c>
      <c r="B165" t="s">
        <v>84</v>
      </c>
      <c r="C165">
        <v>4</v>
      </c>
      <c r="E165">
        <v>42939.12</v>
      </c>
    </row>
    <row r="166" spans="1:8">
      <c r="A166" t="s">
        <v>82</v>
      </c>
      <c r="B166" t="s">
        <v>84</v>
      </c>
      <c r="C166">
        <v>3</v>
      </c>
      <c r="E166">
        <v>43975.79</v>
      </c>
      <c r="H166">
        <v>0.93400000000000005</v>
      </c>
    </row>
    <row r="167" spans="1:8">
      <c r="A167" t="s">
        <v>77</v>
      </c>
      <c r="B167" t="s">
        <v>85</v>
      </c>
      <c r="C167">
        <v>2</v>
      </c>
      <c r="E167">
        <v>41756.15</v>
      </c>
      <c r="H167">
        <v>1.1819999999999999</v>
      </c>
    </row>
    <row r="168" spans="1:8">
      <c r="A168" t="s">
        <v>79</v>
      </c>
      <c r="B168" t="s">
        <v>86</v>
      </c>
      <c r="C168">
        <v>4</v>
      </c>
      <c r="E168">
        <v>41825.230000000003</v>
      </c>
    </row>
    <row r="169" spans="1:8">
      <c r="A169" t="s">
        <v>79</v>
      </c>
      <c r="B169" t="s">
        <v>86</v>
      </c>
      <c r="C169">
        <v>3</v>
      </c>
      <c r="E169">
        <v>43115.47</v>
      </c>
    </row>
    <row r="170" spans="1:8">
      <c r="A170" t="s">
        <v>79</v>
      </c>
      <c r="B170" t="s">
        <v>86</v>
      </c>
      <c r="C170">
        <v>2</v>
      </c>
      <c r="E170">
        <v>44970.04</v>
      </c>
    </row>
    <row r="171" spans="1:8">
      <c r="B171" t="s">
        <v>87</v>
      </c>
      <c r="C171">
        <v>1</v>
      </c>
    </row>
    <row r="172" spans="1:8">
      <c r="B172" t="s">
        <v>87</v>
      </c>
      <c r="C172">
        <v>3</v>
      </c>
      <c r="E172">
        <v>41880.85</v>
      </c>
      <c r="H172">
        <v>1.163</v>
      </c>
    </row>
    <row r="173" spans="1:8">
      <c r="B173" t="s">
        <v>87</v>
      </c>
      <c r="C173">
        <v>2</v>
      </c>
      <c r="E173">
        <v>42897.23</v>
      </c>
    </row>
    <row r="174" spans="1:8">
      <c r="A174" t="s">
        <v>82</v>
      </c>
      <c r="B174" t="s">
        <v>88</v>
      </c>
      <c r="C174">
        <v>6</v>
      </c>
      <c r="E174">
        <v>42404.14</v>
      </c>
      <c r="F174" t="s">
        <v>34</v>
      </c>
    </row>
    <row r="175" spans="1:8">
      <c r="A175" t="s">
        <v>71</v>
      </c>
      <c r="B175" t="s">
        <v>89</v>
      </c>
      <c r="C175">
        <v>1</v>
      </c>
      <c r="E175">
        <v>42415.81</v>
      </c>
      <c r="H175">
        <v>0.96499999999999997</v>
      </c>
    </row>
    <row r="176" spans="1:8">
      <c r="A176" t="s">
        <v>71</v>
      </c>
      <c r="B176" t="s">
        <v>90</v>
      </c>
      <c r="C176">
        <v>0</v>
      </c>
      <c r="E176">
        <v>42620.800000000003</v>
      </c>
      <c r="H176">
        <v>0</v>
      </c>
    </row>
    <row r="177" spans="1:8">
      <c r="B177" t="s">
        <v>91</v>
      </c>
      <c r="C177">
        <v>4</v>
      </c>
      <c r="E177">
        <v>42895.39</v>
      </c>
    </row>
    <row r="178" spans="1:8">
      <c r="A178" t="s">
        <v>77</v>
      </c>
      <c r="B178" t="s">
        <v>92</v>
      </c>
      <c r="C178">
        <v>3</v>
      </c>
      <c r="E178">
        <v>42998.31</v>
      </c>
      <c r="H178">
        <v>0.995</v>
      </c>
    </row>
    <row r="179" spans="1:8">
      <c r="A179" t="s">
        <v>71</v>
      </c>
      <c r="B179" t="s">
        <v>93</v>
      </c>
      <c r="C179">
        <v>1</v>
      </c>
      <c r="E179">
        <v>43107.519999999997</v>
      </c>
      <c r="H179">
        <v>1.5329999999999999</v>
      </c>
    </row>
    <row r="180" spans="1:8">
      <c r="B180" t="s">
        <v>94</v>
      </c>
      <c r="C180">
        <v>3</v>
      </c>
    </row>
    <row r="181" spans="1:8">
      <c r="B181" t="s">
        <v>94</v>
      </c>
      <c r="C181">
        <v>2</v>
      </c>
      <c r="E181">
        <v>43509.17</v>
      </c>
      <c r="H181">
        <v>1.1579999999999999</v>
      </c>
    </row>
    <row r="182" spans="1:8">
      <c r="B182" t="s">
        <v>94</v>
      </c>
      <c r="C182">
        <v>1</v>
      </c>
      <c r="E182">
        <v>43841.53</v>
      </c>
      <c r="H182">
        <v>0.8</v>
      </c>
    </row>
    <row r="183" spans="1:8">
      <c r="A183" t="s">
        <v>82</v>
      </c>
      <c r="B183" t="s">
        <v>95</v>
      </c>
      <c r="C183">
        <v>6</v>
      </c>
      <c r="E183">
        <v>43548.67</v>
      </c>
      <c r="H183">
        <v>1.1619999999999999</v>
      </c>
    </row>
    <row r="184" spans="1:8">
      <c r="A184" t="s">
        <v>82</v>
      </c>
      <c r="B184" t="s">
        <v>95</v>
      </c>
      <c r="C184">
        <v>5</v>
      </c>
      <c r="E184">
        <v>44109.41</v>
      </c>
      <c r="H184">
        <v>1.0329999999999999</v>
      </c>
    </row>
    <row r="185" spans="1:8">
      <c r="A185" t="s">
        <v>82</v>
      </c>
      <c r="B185" t="s">
        <v>95</v>
      </c>
      <c r="C185">
        <v>4</v>
      </c>
      <c r="E185">
        <v>44662.01</v>
      </c>
      <c r="H185">
        <v>0.92500000000000004</v>
      </c>
    </row>
    <row r="186" spans="1:8">
      <c r="A186" t="s">
        <v>82</v>
      </c>
      <c r="B186" t="s">
        <v>96</v>
      </c>
      <c r="C186">
        <v>5</v>
      </c>
      <c r="E186">
        <v>43596.58</v>
      </c>
      <c r="H186">
        <v>1.03</v>
      </c>
    </row>
    <row r="187" spans="1:8">
      <c r="B187" t="s">
        <v>97</v>
      </c>
      <c r="C187">
        <v>3</v>
      </c>
    </row>
    <row r="188" spans="1:8">
      <c r="B188" t="s">
        <v>97</v>
      </c>
      <c r="C188">
        <v>5</v>
      </c>
      <c r="E188">
        <v>43742.81</v>
      </c>
      <c r="H188">
        <v>1.272</v>
      </c>
    </row>
    <row r="189" spans="1:8">
      <c r="B189" t="s">
        <v>97</v>
      </c>
      <c r="C189">
        <v>4</v>
      </c>
      <c r="E189">
        <v>43862.91</v>
      </c>
    </row>
    <row r="190" spans="1:8">
      <c r="A190" t="s">
        <v>71</v>
      </c>
      <c r="B190" t="s">
        <v>98</v>
      </c>
      <c r="C190">
        <v>2</v>
      </c>
      <c r="E190">
        <v>43903.41</v>
      </c>
      <c r="H190">
        <v>1.026</v>
      </c>
    </row>
    <row r="191" spans="1:8">
      <c r="B191" t="s">
        <v>99</v>
      </c>
      <c r="C191">
        <v>6</v>
      </c>
      <c r="E191">
        <v>43998.6</v>
      </c>
      <c r="H191">
        <v>1.2190000000000001</v>
      </c>
    </row>
    <row r="192" spans="1:8">
      <c r="A192" t="s">
        <v>77</v>
      </c>
      <c r="B192" t="s">
        <v>100</v>
      </c>
      <c r="C192">
        <v>0</v>
      </c>
    </row>
    <row r="193" spans="1:8">
      <c r="A193" t="s">
        <v>77</v>
      </c>
      <c r="B193" t="s">
        <v>100</v>
      </c>
      <c r="C193">
        <v>1</v>
      </c>
    </row>
    <row r="194" spans="1:8">
      <c r="A194" t="s">
        <v>77</v>
      </c>
      <c r="B194" t="s">
        <v>100</v>
      </c>
      <c r="C194">
        <v>2</v>
      </c>
      <c r="E194">
        <v>44234.68</v>
      </c>
      <c r="H194">
        <v>1.4219999999999999</v>
      </c>
    </row>
    <row r="195" spans="1:8">
      <c r="A195" t="s">
        <v>101</v>
      </c>
      <c r="B195" t="s">
        <v>102</v>
      </c>
      <c r="C195">
        <v>4</v>
      </c>
      <c r="E195">
        <v>44243.49</v>
      </c>
      <c r="H195">
        <v>1.4730000000000001</v>
      </c>
    </row>
    <row r="196" spans="1:8">
      <c r="A196" t="s">
        <v>101</v>
      </c>
      <c r="B196" t="s">
        <v>102</v>
      </c>
      <c r="C196">
        <v>3</v>
      </c>
      <c r="E196">
        <v>45071.4</v>
      </c>
      <c r="H196">
        <v>1.4490000000000001</v>
      </c>
    </row>
    <row r="197" spans="1:8">
      <c r="A197" t="s">
        <v>101</v>
      </c>
      <c r="B197" t="s">
        <v>102</v>
      </c>
      <c r="C197">
        <v>2</v>
      </c>
      <c r="E197">
        <v>45790.41</v>
      </c>
      <c r="H197">
        <v>1.484</v>
      </c>
    </row>
    <row r="198" spans="1:8">
      <c r="A198" t="s">
        <v>101</v>
      </c>
      <c r="B198" t="s">
        <v>102</v>
      </c>
      <c r="C198">
        <v>1</v>
      </c>
      <c r="E198">
        <v>46191.4</v>
      </c>
      <c r="H198">
        <v>1.4390000000000001</v>
      </c>
    </row>
    <row r="199" spans="1:8">
      <c r="A199" t="s">
        <v>101</v>
      </c>
      <c r="B199" t="s">
        <v>102</v>
      </c>
      <c r="C199">
        <v>0</v>
      </c>
      <c r="E199">
        <v>46466.35</v>
      </c>
    </row>
    <row r="200" spans="1:8">
      <c r="B200" t="s">
        <v>103</v>
      </c>
      <c r="C200">
        <v>1</v>
      </c>
      <c r="E200">
        <v>44301.14</v>
      </c>
      <c r="H200">
        <v>1.35</v>
      </c>
    </row>
    <row r="201" spans="1:8">
      <c r="A201" t="s">
        <v>101</v>
      </c>
      <c r="B201" t="s">
        <v>104</v>
      </c>
      <c r="C201">
        <v>1</v>
      </c>
    </row>
    <row r="202" spans="1:8">
      <c r="A202" t="s">
        <v>101</v>
      </c>
      <c r="B202" t="s">
        <v>104</v>
      </c>
      <c r="C202">
        <v>5</v>
      </c>
      <c r="E202">
        <v>44321.81</v>
      </c>
      <c r="H202">
        <v>1.3029999999999999</v>
      </c>
    </row>
    <row r="203" spans="1:8">
      <c r="A203" t="s">
        <v>101</v>
      </c>
      <c r="B203" t="s">
        <v>104</v>
      </c>
      <c r="C203">
        <v>4</v>
      </c>
      <c r="E203">
        <v>44607.61</v>
      </c>
    </row>
    <row r="204" spans="1:8">
      <c r="A204" t="s">
        <v>101</v>
      </c>
      <c r="B204" t="s">
        <v>104</v>
      </c>
      <c r="C204">
        <v>3</v>
      </c>
      <c r="E204">
        <v>44800.81</v>
      </c>
    </row>
    <row r="205" spans="1:8">
      <c r="A205" t="s">
        <v>101</v>
      </c>
      <c r="B205" t="s">
        <v>104</v>
      </c>
      <c r="C205">
        <v>2</v>
      </c>
      <c r="E205">
        <v>45592.33</v>
      </c>
    </row>
    <row r="206" spans="1:8">
      <c r="B206" t="s">
        <v>105</v>
      </c>
      <c r="C206">
        <v>3</v>
      </c>
      <c r="E206">
        <v>44441.59</v>
      </c>
      <c r="H206">
        <v>0.76</v>
      </c>
    </row>
    <row r="207" spans="1:8">
      <c r="B207" t="s">
        <v>106</v>
      </c>
      <c r="C207">
        <v>2</v>
      </c>
      <c r="E207">
        <v>44891.4</v>
      </c>
      <c r="H207">
        <v>0.38300000000000001</v>
      </c>
    </row>
    <row r="208" spans="1:8">
      <c r="A208" t="s">
        <v>107</v>
      </c>
      <c r="B208" t="s">
        <v>108</v>
      </c>
      <c r="C208">
        <v>2</v>
      </c>
      <c r="E208">
        <v>45197.37</v>
      </c>
      <c r="H208">
        <v>2.2240000000000002</v>
      </c>
    </row>
    <row r="209" spans="1:8">
      <c r="A209" t="s">
        <v>109</v>
      </c>
      <c r="B209" t="s">
        <v>110</v>
      </c>
      <c r="C209">
        <v>3</v>
      </c>
      <c r="E209">
        <v>45201.98</v>
      </c>
      <c r="H209">
        <v>1.0589999999999999</v>
      </c>
    </row>
    <row r="210" spans="1:8">
      <c r="A210" t="s">
        <v>82</v>
      </c>
      <c r="B210" t="s">
        <v>111</v>
      </c>
      <c r="C210">
        <v>4</v>
      </c>
      <c r="E210">
        <v>45364.72</v>
      </c>
      <c r="H210">
        <v>0.96199999999999997</v>
      </c>
    </row>
    <row r="211" spans="1:8">
      <c r="B211" t="s">
        <v>112</v>
      </c>
      <c r="C211">
        <v>3</v>
      </c>
      <c r="E211">
        <v>45475.77</v>
      </c>
      <c r="H211">
        <v>1.5469999999999999</v>
      </c>
    </row>
    <row r="212" spans="1:8">
      <c r="A212" t="s">
        <v>109</v>
      </c>
      <c r="B212" t="s">
        <v>113</v>
      </c>
      <c r="C212">
        <v>4</v>
      </c>
      <c r="E212">
        <v>45528.61</v>
      </c>
      <c r="H212">
        <v>1.08</v>
      </c>
    </row>
    <row r="213" spans="1:8">
      <c r="B213" t="s">
        <v>114</v>
      </c>
      <c r="C213">
        <v>3</v>
      </c>
      <c r="E213">
        <v>45549.51</v>
      </c>
    </row>
    <row r="214" spans="1:8">
      <c r="A214" t="s">
        <v>115</v>
      </c>
      <c r="B214" t="s">
        <v>116</v>
      </c>
      <c r="C214">
        <v>4</v>
      </c>
      <c r="E214">
        <v>45755.55</v>
      </c>
    </row>
    <row r="215" spans="1:8">
      <c r="A215" t="s">
        <v>115</v>
      </c>
      <c r="B215" t="s">
        <v>116</v>
      </c>
      <c r="C215">
        <v>3</v>
      </c>
      <c r="E215">
        <v>46946.58</v>
      </c>
      <c r="H215">
        <v>1.022</v>
      </c>
    </row>
    <row r="216" spans="1:8">
      <c r="A216" t="s">
        <v>115</v>
      </c>
      <c r="B216" t="s">
        <v>116</v>
      </c>
      <c r="C216">
        <v>2</v>
      </c>
      <c r="E216">
        <v>47247.98</v>
      </c>
      <c r="H216">
        <v>0.70199999999999996</v>
      </c>
    </row>
    <row r="217" spans="1:8">
      <c r="B217" t="s">
        <v>117</v>
      </c>
      <c r="C217">
        <v>3</v>
      </c>
    </row>
    <row r="218" spans="1:8">
      <c r="B218" t="s">
        <v>117</v>
      </c>
      <c r="C218">
        <v>2</v>
      </c>
      <c r="E218">
        <v>45923.360000000001</v>
      </c>
      <c r="H218">
        <v>1.089</v>
      </c>
    </row>
    <row r="219" spans="1:8">
      <c r="B219" t="s">
        <v>117</v>
      </c>
      <c r="C219">
        <v>1</v>
      </c>
      <c r="E219">
        <v>46499.7</v>
      </c>
      <c r="H219">
        <v>0.72</v>
      </c>
    </row>
    <row r="220" spans="1:8">
      <c r="B220" t="s">
        <v>118</v>
      </c>
      <c r="C220">
        <v>1</v>
      </c>
      <c r="E220">
        <v>45978.14</v>
      </c>
      <c r="H220">
        <v>0.44</v>
      </c>
    </row>
    <row r="221" spans="1:8">
      <c r="B221" t="s">
        <v>119</v>
      </c>
      <c r="C221">
        <v>1</v>
      </c>
      <c r="E221">
        <v>46056.23</v>
      </c>
      <c r="H221">
        <v>1.115</v>
      </c>
    </row>
    <row r="222" spans="1:8">
      <c r="B222" t="s">
        <v>120</v>
      </c>
      <c r="C222">
        <v>4</v>
      </c>
      <c r="E222">
        <v>46067.24</v>
      </c>
    </row>
    <row r="223" spans="1:8">
      <c r="B223" t="s">
        <v>121</v>
      </c>
      <c r="C223">
        <v>0</v>
      </c>
      <c r="E223">
        <v>46102.93</v>
      </c>
      <c r="H223">
        <v>0</v>
      </c>
    </row>
    <row r="224" spans="1:8">
      <c r="B224" t="s">
        <v>122</v>
      </c>
      <c r="C224">
        <v>4</v>
      </c>
      <c r="E224">
        <v>46273.2</v>
      </c>
    </row>
    <row r="225" spans="1:8">
      <c r="B225" t="s">
        <v>123</v>
      </c>
      <c r="C225">
        <v>4</v>
      </c>
      <c r="E225">
        <v>46400.58</v>
      </c>
    </row>
    <row r="226" spans="1:8">
      <c r="A226" t="s">
        <v>124</v>
      </c>
      <c r="B226" t="s">
        <v>125</v>
      </c>
      <c r="C226">
        <v>5</v>
      </c>
      <c r="E226">
        <v>46495.05</v>
      </c>
      <c r="H226">
        <v>1.03</v>
      </c>
    </row>
    <row r="227" spans="1:8">
      <c r="A227" t="s">
        <v>126</v>
      </c>
      <c r="B227" t="s">
        <v>127</v>
      </c>
      <c r="C227">
        <v>1</v>
      </c>
      <c r="E227">
        <v>46528.26</v>
      </c>
      <c r="H227">
        <v>1.05</v>
      </c>
    </row>
    <row r="228" spans="1:8">
      <c r="B228" t="s">
        <v>128</v>
      </c>
      <c r="C228">
        <v>4</v>
      </c>
      <c r="E228">
        <v>46695.02</v>
      </c>
    </row>
    <row r="229" spans="1:8">
      <c r="A229" t="s">
        <v>107</v>
      </c>
      <c r="B229" t="s">
        <v>129</v>
      </c>
      <c r="C229">
        <v>3</v>
      </c>
      <c r="E229">
        <v>46746.35</v>
      </c>
    </row>
    <row r="230" spans="1:8">
      <c r="A230" t="s">
        <v>107</v>
      </c>
      <c r="B230" t="s">
        <v>129</v>
      </c>
      <c r="C230">
        <v>2</v>
      </c>
      <c r="E230">
        <v>46803.6</v>
      </c>
    </row>
    <row r="231" spans="1:8">
      <c r="A231" t="s">
        <v>107</v>
      </c>
      <c r="B231" t="s">
        <v>129</v>
      </c>
      <c r="C231">
        <v>1</v>
      </c>
      <c r="E231">
        <v>47500.54</v>
      </c>
    </row>
    <row r="232" spans="1:8">
      <c r="B232" t="s">
        <v>130</v>
      </c>
      <c r="C232">
        <v>1</v>
      </c>
      <c r="E232">
        <v>46789.23</v>
      </c>
    </row>
    <row r="233" spans="1:8">
      <c r="A233" t="s">
        <v>131</v>
      </c>
      <c r="B233" t="s">
        <v>132</v>
      </c>
      <c r="C233">
        <v>1</v>
      </c>
    </row>
    <row r="234" spans="1:8">
      <c r="A234" t="s">
        <v>131</v>
      </c>
      <c r="B234" t="s">
        <v>132</v>
      </c>
      <c r="C234">
        <v>2</v>
      </c>
    </row>
    <row r="235" spans="1:8">
      <c r="A235" t="s">
        <v>131</v>
      </c>
      <c r="B235" t="s">
        <v>132</v>
      </c>
      <c r="C235">
        <v>5</v>
      </c>
      <c r="E235">
        <v>46906.32</v>
      </c>
    </row>
    <row r="236" spans="1:8">
      <c r="A236" t="s">
        <v>131</v>
      </c>
      <c r="B236" t="s">
        <v>132</v>
      </c>
      <c r="C236">
        <v>4</v>
      </c>
      <c r="E236">
        <v>48543.88</v>
      </c>
    </row>
    <row r="237" spans="1:8">
      <c r="A237" t="s">
        <v>131</v>
      </c>
      <c r="B237" t="s">
        <v>132</v>
      </c>
      <c r="C237">
        <v>3</v>
      </c>
      <c r="E237">
        <v>48809.279999999999</v>
      </c>
    </row>
    <row r="238" spans="1:8">
      <c r="A238" t="s">
        <v>131</v>
      </c>
      <c r="B238" t="s">
        <v>133</v>
      </c>
      <c r="C238">
        <v>0</v>
      </c>
    </row>
    <row r="239" spans="1:8">
      <c r="A239" t="s">
        <v>131</v>
      </c>
      <c r="B239" t="s">
        <v>133</v>
      </c>
      <c r="C239">
        <v>4</v>
      </c>
      <c r="E239">
        <v>46972.42</v>
      </c>
      <c r="H239">
        <v>1.36</v>
      </c>
    </row>
    <row r="240" spans="1:8">
      <c r="A240" t="s">
        <v>131</v>
      </c>
      <c r="B240" t="s">
        <v>133</v>
      </c>
      <c r="C240">
        <v>3</v>
      </c>
      <c r="E240">
        <v>47188.32</v>
      </c>
    </row>
    <row r="241" spans="1:8">
      <c r="A241" t="s">
        <v>131</v>
      </c>
      <c r="B241" t="s">
        <v>133</v>
      </c>
      <c r="C241">
        <v>2</v>
      </c>
      <c r="E241">
        <v>48720.87</v>
      </c>
    </row>
    <row r="242" spans="1:8">
      <c r="A242" t="s">
        <v>131</v>
      </c>
      <c r="B242" t="s">
        <v>133</v>
      </c>
      <c r="C242">
        <v>1</v>
      </c>
      <c r="E242">
        <v>49513.33</v>
      </c>
      <c r="F242" t="s">
        <v>34</v>
      </c>
    </row>
    <row r="243" spans="1:8">
      <c r="A243" t="s">
        <v>131</v>
      </c>
      <c r="B243" t="s">
        <v>134</v>
      </c>
      <c r="C243">
        <v>2</v>
      </c>
    </row>
    <row r="244" spans="1:8">
      <c r="A244" t="s">
        <v>131</v>
      </c>
      <c r="B244" t="s">
        <v>134</v>
      </c>
      <c r="C244">
        <v>4</v>
      </c>
    </row>
    <row r="245" spans="1:8">
      <c r="A245" t="s">
        <v>131</v>
      </c>
      <c r="B245" t="s">
        <v>134</v>
      </c>
      <c r="C245">
        <v>6</v>
      </c>
      <c r="E245">
        <v>46991.15</v>
      </c>
    </row>
    <row r="246" spans="1:8">
      <c r="A246" t="s">
        <v>131</v>
      </c>
      <c r="B246" t="s">
        <v>134</v>
      </c>
      <c r="C246">
        <v>5</v>
      </c>
      <c r="E246">
        <v>48521.77</v>
      </c>
    </row>
    <row r="247" spans="1:8">
      <c r="A247" t="s">
        <v>131</v>
      </c>
      <c r="B247" t="s">
        <v>134</v>
      </c>
      <c r="C247">
        <v>3</v>
      </c>
      <c r="E247">
        <v>49553.73</v>
      </c>
    </row>
    <row r="248" spans="1:8">
      <c r="B248" t="s">
        <v>135</v>
      </c>
      <c r="C248">
        <v>3</v>
      </c>
      <c r="E248">
        <v>47046.54</v>
      </c>
      <c r="H248">
        <v>1.0580000000000001</v>
      </c>
    </row>
    <row r="249" spans="1:8">
      <c r="A249" t="s">
        <v>131</v>
      </c>
      <c r="B249" t="s">
        <v>136</v>
      </c>
      <c r="C249">
        <v>5</v>
      </c>
      <c r="E249">
        <v>47084.800000000003</v>
      </c>
      <c r="H249">
        <v>1.19</v>
      </c>
    </row>
    <row r="250" spans="1:8">
      <c r="A250" t="s">
        <v>131</v>
      </c>
      <c r="B250" t="s">
        <v>136</v>
      </c>
      <c r="C250">
        <v>4</v>
      </c>
      <c r="E250">
        <v>48727.68</v>
      </c>
    </row>
    <row r="251" spans="1:8">
      <c r="A251" t="s">
        <v>131</v>
      </c>
      <c r="B251" t="s">
        <v>136</v>
      </c>
      <c r="C251">
        <v>3</v>
      </c>
      <c r="E251">
        <v>49675.97</v>
      </c>
    </row>
    <row r="252" spans="1:8">
      <c r="B252" t="s">
        <v>137</v>
      </c>
      <c r="C252">
        <v>4</v>
      </c>
      <c r="E252">
        <v>47157.279999999999</v>
      </c>
      <c r="H252">
        <v>1.24</v>
      </c>
    </row>
    <row r="253" spans="1:8">
      <c r="B253" t="s">
        <v>138</v>
      </c>
      <c r="C253">
        <v>0</v>
      </c>
      <c r="E253">
        <v>47176.9</v>
      </c>
    </row>
    <row r="254" spans="1:8">
      <c r="B254" t="s">
        <v>139</v>
      </c>
      <c r="C254">
        <v>4</v>
      </c>
      <c r="E254">
        <v>47261.52</v>
      </c>
      <c r="H254">
        <v>1.1200000000000001</v>
      </c>
    </row>
    <row r="255" spans="1:8">
      <c r="A255" t="s">
        <v>115</v>
      </c>
      <c r="B255" t="s">
        <v>140</v>
      </c>
      <c r="C255">
        <v>1</v>
      </c>
    </row>
    <row r="256" spans="1:8">
      <c r="A256" t="s">
        <v>115</v>
      </c>
      <c r="B256" t="s">
        <v>140</v>
      </c>
      <c r="C256">
        <v>3</v>
      </c>
      <c r="E256">
        <v>47339.32</v>
      </c>
      <c r="H256">
        <v>1.377</v>
      </c>
    </row>
    <row r="257" spans="1:8">
      <c r="A257" t="s">
        <v>115</v>
      </c>
      <c r="B257" t="s">
        <v>140</v>
      </c>
      <c r="C257">
        <v>2</v>
      </c>
      <c r="E257">
        <v>47547.33</v>
      </c>
      <c r="H257">
        <v>1.0569999999999999</v>
      </c>
    </row>
    <row r="258" spans="1:8">
      <c r="B258" t="s">
        <v>141</v>
      </c>
      <c r="C258">
        <v>2</v>
      </c>
      <c r="E258">
        <v>47345.1</v>
      </c>
      <c r="H258">
        <v>1.55</v>
      </c>
    </row>
    <row r="259" spans="1:8">
      <c r="B259" t="s">
        <v>142</v>
      </c>
      <c r="C259">
        <v>5</v>
      </c>
      <c r="E259">
        <v>47425.17</v>
      </c>
    </row>
    <row r="260" spans="1:8">
      <c r="B260" t="s">
        <v>143</v>
      </c>
      <c r="C260">
        <v>4</v>
      </c>
      <c r="E260">
        <v>47486.96</v>
      </c>
    </row>
    <row r="261" spans="1:8">
      <c r="B261" t="s">
        <v>144</v>
      </c>
      <c r="C261">
        <v>3</v>
      </c>
      <c r="E261">
        <v>47526.09</v>
      </c>
      <c r="H261">
        <v>1.1339999999999999</v>
      </c>
    </row>
    <row r="262" spans="1:8">
      <c r="B262" t="s">
        <v>145</v>
      </c>
      <c r="C262">
        <v>3</v>
      </c>
      <c r="E262">
        <v>47635.33</v>
      </c>
      <c r="H262">
        <v>1.06</v>
      </c>
    </row>
    <row r="263" spans="1:8">
      <c r="B263" t="s">
        <v>146</v>
      </c>
      <c r="C263">
        <v>5</v>
      </c>
      <c r="E263">
        <v>47642.87</v>
      </c>
    </row>
    <row r="264" spans="1:8">
      <c r="B264" t="s">
        <v>147</v>
      </c>
      <c r="C264">
        <v>3</v>
      </c>
      <c r="E264">
        <v>47788.72</v>
      </c>
    </row>
    <row r="265" spans="1:8">
      <c r="B265" t="s">
        <v>148</v>
      </c>
      <c r="C265">
        <v>1</v>
      </c>
      <c r="E265">
        <v>47809.11</v>
      </c>
    </row>
    <row r="266" spans="1:8">
      <c r="B266" t="s">
        <v>149</v>
      </c>
      <c r="C266">
        <v>4</v>
      </c>
      <c r="E266">
        <v>47817.84</v>
      </c>
    </row>
    <row r="267" spans="1:8">
      <c r="B267" t="s">
        <v>150</v>
      </c>
      <c r="C267">
        <v>3</v>
      </c>
      <c r="E267">
        <v>47868.35</v>
      </c>
      <c r="H267">
        <v>1.3089999999999999</v>
      </c>
    </row>
    <row r="268" spans="1:8">
      <c r="B268" t="s">
        <v>151</v>
      </c>
      <c r="C268">
        <v>3</v>
      </c>
      <c r="E268">
        <v>48003</v>
      </c>
    </row>
    <row r="269" spans="1:8">
      <c r="B269" t="s">
        <v>152</v>
      </c>
      <c r="C269">
        <v>4</v>
      </c>
      <c r="E269">
        <v>48109.32</v>
      </c>
    </row>
    <row r="270" spans="1:8">
      <c r="B270" t="s">
        <v>153</v>
      </c>
      <c r="C270">
        <v>4</v>
      </c>
      <c r="E270">
        <v>48143.98</v>
      </c>
    </row>
    <row r="271" spans="1:8">
      <c r="B271" t="s">
        <v>154</v>
      </c>
      <c r="C271">
        <v>2</v>
      </c>
      <c r="E271">
        <v>48164.79</v>
      </c>
    </row>
    <row r="272" spans="1:8">
      <c r="B272" t="s">
        <v>155</v>
      </c>
      <c r="C272">
        <v>2</v>
      </c>
      <c r="E272">
        <v>48326.73</v>
      </c>
      <c r="H272">
        <v>1.08</v>
      </c>
    </row>
    <row r="273" spans="1:8">
      <c r="A273" t="s">
        <v>156</v>
      </c>
      <c r="B273" t="s">
        <v>157</v>
      </c>
      <c r="C273">
        <v>5</v>
      </c>
      <c r="E273">
        <v>48386.33</v>
      </c>
      <c r="H273">
        <v>1.6020000000000001</v>
      </c>
    </row>
    <row r="274" spans="1:8">
      <c r="A274" t="s">
        <v>156</v>
      </c>
      <c r="B274" t="s">
        <v>157</v>
      </c>
      <c r="C274">
        <v>4</v>
      </c>
      <c r="E274">
        <v>49235.15</v>
      </c>
      <c r="H274">
        <v>1.649</v>
      </c>
    </row>
    <row r="275" spans="1:8">
      <c r="A275" t="s">
        <v>156</v>
      </c>
      <c r="B275" t="s">
        <v>157</v>
      </c>
      <c r="C275">
        <v>3</v>
      </c>
      <c r="E275">
        <v>50016.7</v>
      </c>
    </row>
    <row r="276" spans="1:8">
      <c r="A276" t="s">
        <v>156</v>
      </c>
      <c r="B276" t="s">
        <v>157</v>
      </c>
      <c r="C276">
        <v>2</v>
      </c>
      <c r="E276">
        <v>50539.81</v>
      </c>
    </row>
    <row r="277" spans="1:8">
      <c r="A277" t="s">
        <v>156</v>
      </c>
      <c r="B277" t="s">
        <v>157</v>
      </c>
      <c r="C277">
        <v>1</v>
      </c>
      <c r="E277">
        <v>50618.879999999997</v>
      </c>
    </row>
    <row r="278" spans="1:8">
      <c r="B278" t="s">
        <v>158</v>
      </c>
      <c r="C278">
        <v>3</v>
      </c>
      <c r="E278">
        <v>48405.09</v>
      </c>
      <c r="H278">
        <v>1.1399999999999999</v>
      </c>
    </row>
    <row r="279" spans="1:8">
      <c r="A279" t="s">
        <v>131</v>
      </c>
      <c r="B279" t="s">
        <v>159</v>
      </c>
      <c r="C279">
        <v>1</v>
      </c>
    </row>
    <row r="280" spans="1:8">
      <c r="A280" t="s">
        <v>131</v>
      </c>
      <c r="B280" t="s">
        <v>159</v>
      </c>
      <c r="C280">
        <v>3</v>
      </c>
      <c r="E280">
        <v>48489.66</v>
      </c>
      <c r="H280">
        <v>1.28</v>
      </c>
    </row>
    <row r="281" spans="1:8">
      <c r="A281" t="s">
        <v>131</v>
      </c>
      <c r="B281" t="s">
        <v>159</v>
      </c>
      <c r="C281">
        <v>2</v>
      </c>
      <c r="E281">
        <v>49757.88</v>
      </c>
    </row>
    <row r="282" spans="1:8">
      <c r="B282" t="s">
        <v>160</v>
      </c>
      <c r="C282">
        <v>3</v>
      </c>
      <c r="E282">
        <v>48493.01</v>
      </c>
    </row>
    <row r="283" spans="1:8">
      <c r="B283" t="s">
        <v>161</v>
      </c>
      <c r="C283">
        <v>5</v>
      </c>
      <c r="E283">
        <v>48503.3</v>
      </c>
    </row>
    <row r="284" spans="1:8">
      <c r="B284" t="s">
        <v>162</v>
      </c>
      <c r="C284" t="s">
        <v>163</v>
      </c>
      <c r="E284">
        <v>48570.85</v>
      </c>
    </row>
    <row r="285" spans="1:8">
      <c r="B285" t="s">
        <v>164</v>
      </c>
      <c r="C285">
        <v>4</v>
      </c>
      <c r="E285">
        <v>48597.45</v>
      </c>
      <c r="H285">
        <v>1.208</v>
      </c>
    </row>
    <row r="286" spans="1:8">
      <c r="B286" t="s">
        <v>165</v>
      </c>
      <c r="C286">
        <v>1</v>
      </c>
      <c r="E286">
        <v>48604.34</v>
      </c>
      <c r="H286">
        <v>2.06</v>
      </c>
    </row>
    <row r="287" spans="1:8">
      <c r="B287" t="s">
        <v>166</v>
      </c>
      <c r="C287">
        <v>3</v>
      </c>
      <c r="E287">
        <v>48765.88</v>
      </c>
    </row>
    <row r="288" spans="1:8">
      <c r="B288" t="s">
        <v>167</v>
      </c>
      <c r="C288">
        <v>2</v>
      </c>
      <c r="E288">
        <v>48779.15</v>
      </c>
    </row>
    <row r="289" spans="1:8">
      <c r="B289" t="s">
        <v>168</v>
      </c>
      <c r="C289">
        <v>4</v>
      </c>
      <c r="E289">
        <v>48853.69</v>
      </c>
      <c r="H289">
        <v>1.23</v>
      </c>
    </row>
    <row r="290" spans="1:8">
      <c r="B290" t="s">
        <v>169</v>
      </c>
      <c r="C290">
        <v>3</v>
      </c>
      <c r="E290">
        <v>48933.93</v>
      </c>
    </row>
    <row r="291" spans="1:8">
      <c r="B291" t="s">
        <v>170</v>
      </c>
      <c r="C291">
        <v>2</v>
      </c>
      <c r="E291">
        <v>49037.35</v>
      </c>
    </row>
    <row r="292" spans="1:8">
      <c r="B292" t="s">
        <v>171</v>
      </c>
      <c r="C292">
        <v>1</v>
      </c>
      <c r="E292">
        <v>49047.61</v>
      </c>
    </row>
    <row r="293" spans="1:8">
      <c r="B293" t="s">
        <v>172</v>
      </c>
      <c r="C293">
        <v>3</v>
      </c>
      <c r="E293">
        <v>49141.42</v>
      </c>
    </row>
    <row r="294" spans="1:8">
      <c r="B294" t="s">
        <v>173</v>
      </c>
      <c r="C294">
        <v>4</v>
      </c>
      <c r="E294">
        <v>49165.05</v>
      </c>
    </row>
    <row r="295" spans="1:8">
      <c r="A295" t="s">
        <v>174</v>
      </c>
      <c r="B295" t="s">
        <v>175</v>
      </c>
      <c r="C295">
        <v>1</v>
      </c>
    </row>
    <row r="296" spans="1:8">
      <c r="A296" t="s">
        <v>174</v>
      </c>
      <c r="B296" t="s">
        <v>175</v>
      </c>
      <c r="C296">
        <v>3</v>
      </c>
      <c r="E296">
        <v>49291.06</v>
      </c>
    </row>
    <row r="297" spans="1:8">
      <c r="A297" t="s">
        <v>174</v>
      </c>
      <c r="B297" t="s">
        <v>175</v>
      </c>
      <c r="C297">
        <v>2</v>
      </c>
      <c r="E297">
        <v>50172.84</v>
      </c>
    </row>
    <row r="298" spans="1:8">
      <c r="B298" t="s">
        <v>176</v>
      </c>
      <c r="C298">
        <v>3</v>
      </c>
      <c r="E298">
        <v>49303.88</v>
      </c>
      <c r="F298" t="s">
        <v>34</v>
      </c>
    </row>
    <row r="299" spans="1:8">
      <c r="B299" t="s">
        <v>177</v>
      </c>
      <c r="C299">
        <v>1</v>
      </c>
      <c r="E299">
        <v>49408.97</v>
      </c>
    </row>
    <row r="300" spans="1:8">
      <c r="B300" t="s">
        <v>178</v>
      </c>
      <c r="C300">
        <v>2</v>
      </c>
      <c r="E300">
        <v>49417.5</v>
      </c>
    </row>
    <row r="301" spans="1:8">
      <c r="B301" t="s">
        <v>179</v>
      </c>
      <c r="C301" t="s">
        <v>180</v>
      </c>
      <c r="E301">
        <v>49447.53</v>
      </c>
    </row>
    <row r="302" spans="1:8">
      <c r="A302" t="s">
        <v>181</v>
      </c>
      <c r="B302" t="s">
        <v>182</v>
      </c>
      <c r="C302">
        <v>2</v>
      </c>
      <c r="E302">
        <v>49489.56</v>
      </c>
    </row>
    <row r="303" spans="1:8">
      <c r="B303" t="s">
        <v>183</v>
      </c>
      <c r="C303">
        <v>5</v>
      </c>
      <c r="E303">
        <v>49592.9</v>
      </c>
    </row>
    <row r="304" spans="1:8">
      <c r="A304" t="s">
        <v>184</v>
      </c>
      <c r="B304" t="s">
        <v>185</v>
      </c>
      <c r="C304">
        <v>3</v>
      </c>
    </row>
    <row r="305" spans="1:8">
      <c r="A305" t="s">
        <v>184</v>
      </c>
      <c r="B305" t="s">
        <v>185</v>
      </c>
      <c r="C305">
        <v>5</v>
      </c>
    </row>
    <row r="306" spans="1:8">
      <c r="A306" t="s">
        <v>184</v>
      </c>
      <c r="B306" t="s">
        <v>185</v>
      </c>
      <c r="C306">
        <v>4</v>
      </c>
      <c r="E306">
        <v>49624.26</v>
      </c>
    </row>
    <row r="307" spans="1:8">
      <c r="A307" t="s">
        <v>184</v>
      </c>
      <c r="B307" t="s">
        <v>185</v>
      </c>
      <c r="C307">
        <v>2</v>
      </c>
      <c r="E307">
        <v>51058.64</v>
      </c>
    </row>
    <row r="308" spans="1:8">
      <c r="A308" t="s">
        <v>184</v>
      </c>
      <c r="B308" t="s">
        <v>185</v>
      </c>
      <c r="C308">
        <v>1</v>
      </c>
      <c r="E308">
        <v>52729.8</v>
      </c>
    </row>
    <row r="309" spans="1:8">
      <c r="B309" t="s">
        <v>186</v>
      </c>
      <c r="C309">
        <v>4</v>
      </c>
      <c r="E309">
        <v>49722.18</v>
      </c>
    </row>
    <row r="310" spans="1:8">
      <c r="B310" t="s">
        <v>187</v>
      </c>
      <c r="C310">
        <v>1</v>
      </c>
      <c r="E310">
        <v>49761.61</v>
      </c>
    </row>
    <row r="311" spans="1:8">
      <c r="B311" t="s">
        <v>188</v>
      </c>
      <c r="C311" t="s">
        <v>163</v>
      </c>
      <c r="E311">
        <v>49918.28</v>
      </c>
      <c r="F311" t="s">
        <v>34</v>
      </c>
    </row>
    <row r="312" spans="1:8">
      <c r="B312" t="s">
        <v>189</v>
      </c>
      <c r="C312">
        <v>3</v>
      </c>
    </row>
    <row r="313" spans="1:8">
      <c r="B313" t="s">
        <v>189</v>
      </c>
      <c r="C313">
        <v>4</v>
      </c>
      <c r="E313">
        <v>49949.25</v>
      </c>
    </row>
    <row r="314" spans="1:8">
      <c r="B314" t="s">
        <v>189</v>
      </c>
      <c r="C314">
        <v>5</v>
      </c>
      <c r="E314">
        <v>50122.41</v>
      </c>
      <c r="H314">
        <v>1.1599999999999999</v>
      </c>
    </row>
    <row r="315" spans="1:8">
      <c r="B315" t="s">
        <v>190</v>
      </c>
      <c r="C315">
        <v>2</v>
      </c>
      <c r="E315">
        <v>49970.65</v>
      </c>
    </row>
    <row r="316" spans="1:8">
      <c r="B316" t="s">
        <v>191</v>
      </c>
      <c r="C316">
        <v>2</v>
      </c>
      <c r="E316">
        <v>50027.96</v>
      </c>
    </row>
    <row r="317" spans="1:8">
      <c r="B317" t="s">
        <v>192</v>
      </c>
      <c r="C317">
        <v>1</v>
      </c>
      <c r="E317">
        <v>50192.07</v>
      </c>
    </row>
    <row r="318" spans="1:8">
      <c r="B318" t="s">
        <v>193</v>
      </c>
      <c r="C318">
        <v>1</v>
      </c>
      <c r="E318">
        <v>50338.99</v>
      </c>
    </row>
    <row r="319" spans="1:8">
      <c r="A319" t="s">
        <v>156</v>
      </c>
      <c r="B319" t="s">
        <v>194</v>
      </c>
      <c r="C319">
        <v>0</v>
      </c>
    </row>
    <row r="320" spans="1:8">
      <c r="A320" t="s">
        <v>156</v>
      </c>
      <c r="B320" t="s">
        <v>194</v>
      </c>
      <c r="C320">
        <v>1</v>
      </c>
    </row>
    <row r="321" spans="1:9">
      <c r="A321" t="s">
        <v>156</v>
      </c>
      <c r="B321" t="s">
        <v>194</v>
      </c>
      <c r="C321">
        <v>4</v>
      </c>
      <c r="E321">
        <v>50350.52</v>
      </c>
    </row>
    <row r="322" spans="1:9">
      <c r="A322" t="s">
        <v>156</v>
      </c>
      <c r="B322" t="s">
        <v>194</v>
      </c>
      <c r="C322">
        <v>3</v>
      </c>
      <c r="E322">
        <v>51364.82</v>
      </c>
    </row>
    <row r="323" spans="1:9">
      <c r="A323" t="s">
        <v>156</v>
      </c>
      <c r="B323" t="s">
        <v>194</v>
      </c>
      <c r="C323">
        <v>2</v>
      </c>
      <c r="E323">
        <v>52001.35</v>
      </c>
    </row>
    <row r="324" spans="1:9">
      <c r="B324" t="s">
        <v>195</v>
      </c>
      <c r="C324">
        <v>3</v>
      </c>
      <c r="E324">
        <v>50351.93</v>
      </c>
    </row>
    <row r="325" spans="1:9">
      <c r="B325" t="s">
        <v>196</v>
      </c>
      <c r="C325">
        <v>1</v>
      </c>
      <c r="E325">
        <v>50772.05</v>
      </c>
    </row>
    <row r="326" spans="1:9">
      <c r="B326" t="s">
        <v>197</v>
      </c>
      <c r="C326">
        <v>4</v>
      </c>
      <c r="E326">
        <v>51360.21</v>
      </c>
      <c r="H326">
        <v>1.0940000000000001</v>
      </c>
    </row>
    <row r="327" spans="1:9">
      <c r="B327" t="s">
        <v>198</v>
      </c>
      <c r="C327">
        <v>3</v>
      </c>
      <c r="E327">
        <v>52455.23</v>
      </c>
    </row>
    <row r="328" spans="1:9">
      <c r="B328" t="s">
        <v>199</v>
      </c>
      <c r="C328">
        <v>4</v>
      </c>
      <c r="E328">
        <v>53717.63</v>
      </c>
    </row>
    <row r="329" spans="1:9">
      <c r="B329" t="s">
        <v>200</v>
      </c>
      <c r="C329">
        <v>4</v>
      </c>
      <c r="E329">
        <v>54043.38</v>
      </c>
    </row>
    <row r="330" spans="1:9">
      <c r="A330" t="s">
        <v>201</v>
      </c>
      <c r="B330" t="s">
        <v>202</v>
      </c>
      <c r="C330" t="s">
        <v>203</v>
      </c>
      <c r="E330">
        <v>59366.400000000001</v>
      </c>
      <c r="G330">
        <v>0.4</v>
      </c>
      <c r="I330" t="s">
        <v>204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8BB9-01AA-46E0-A4FF-7E5031009F38}">
  <dimension ref="A1:I139"/>
  <sheetViews>
    <sheetView workbookViewId="0">
      <selection sqref="A1:I1048576"/>
    </sheetView>
  </sheetViews>
  <sheetFormatPr defaultRowHeight="15"/>
  <cols>
    <col min="1" max="1" width="15.42578125" bestFit="1" customWidth="1"/>
    <col min="2" max="2" width="5.7109375" bestFit="1" customWidth="1"/>
    <col min="3" max="3" width="8.28515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7109375" bestFit="1" customWidth="1"/>
    <col min="9" max="9" width="10.140625" bestFit="1" customWidth="1"/>
  </cols>
  <sheetData>
    <row r="1" spans="1:9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3986</v>
      </c>
      <c r="B2" t="s">
        <v>1034</v>
      </c>
      <c r="C2" s="2" t="s">
        <v>252</v>
      </c>
      <c r="E2">
        <v>0</v>
      </c>
      <c r="H2">
        <v>1.329</v>
      </c>
      <c r="I2" t="s">
        <v>12</v>
      </c>
    </row>
    <row r="3" spans="1:9">
      <c r="A3" t="s">
        <v>3986</v>
      </c>
      <c r="B3" t="s">
        <v>1034</v>
      </c>
      <c r="C3" s="2" t="s">
        <v>251</v>
      </c>
      <c r="E3">
        <v>1529.97</v>
      </c>
      <c r="H3">
        <v>1.23</v>
      </c>
    </row>
    <row r="4" spans="1:9">
      <c r="A4" t="s">
        <v>3986</v>
      </c>
      <c r="B4" t="s">
        <v>1034</v>
      </c>
      <c r="C4" s="2" t="s">
        <v>249</v>
      </c>
      <c r="E4">
        <v>2598.0300000000002</v>
      </c>
      <c r="H4">
        <v>1.105</v>
      </c>
    </row>
    <row r="5" spans="1:9">
      <c r="A5" t="s">
        <v>3986</v>
      </c>
      <c r="B5" t="s">
        <v>1034</v>
      </c>
      <c r="C5" s="2" t="s">
        <v>250</v>
      </c>
      <c r="E5">
        <v>3472.68</v>
      </c>
      <c r="H5">
        <v>0.47299999999999998</v>
      </c>
    </row>
    <row r="6" spans="1:9">
      <c r="A6" t="s">
        <v>3987</v>
      </c>
      <c r="B6" t="s">
        <v>2542</v>
      </c>
      <c r="C6" s="2" t="s">
        <v>249</v>
      </c>
      <c r="E6">
        <v>3309.86</v>
      </c>
      <c r="H6">
        <v>1.1160000000000001</v>
      </c>
    </row>
    <row r="7" spans="1:9">
      <c r="A7" t="s">
        <v>3987</v>
      </c>
      <c r="B7" t="s">
        <v>2542</v>
      </c>
      <c r="C7" s="2" t="s">
        <v>250</v>
      </c>
      <c r="E7">
        <v>5657.97</v>
      </c>
      <c r="H7">
        <v>0.74399999999999999</v>
      </c>
    </row>
    <row r="8" spans="1:9">
      <c r="A8" t="s">
        <v>3986</v>
      </c>
      <c r="B8" t="s">
        <v>1091</v>
      </c>
      <c r="C8" s="2" t="s">
        <v>251</v>
      </c>
      <c r="E8">
        <v>5690.97</v>
      </c>
      <c r="H8">
        <v>1.143</v>
      </c>
    </row>
    <row r="9" spans="1:9">
      <c r="A9" t="s">
        <v>3986</v>
      </c>
      <c r="B9" t="s">
        <v>1091</v>
      </c>
      <c r="C9" s="2" t="s">
        <v>249</v>
      </c>
      <c r="E9">
        <v>7791.23</v>
      </c>
      <c r="H9">
        <v>0.94699999999999995</v>
      </c>
    </row>
    <row r="10" spans="1:9">
      <c r="A10" t="s">
        <v>3988</v>
      </c>
      <c r="B10" t="s">
        <v>1043</v>
      </c>
      <c r="C10" s="2" t="s">
        <v>249</v>
      </c>
      <c r="E10">
        <v>9221.2199999999993</v>
      </c>
      <c r="H10">
        <v>1.478</v>
      </c>
    </row>
    <row r="11" spans="1:9">
      <c r="A11" t="s">
        <v>3988</v>
      </c>
      <c r="B11" t="s">
        <v>1043</v>
      </c>
      <c r="C11" s="2" t="s">
        <v>250</v>
      </c>
      <c r="E11">
        <v>10313.41</v>
      </c>
      <c r="H11">
        <v>1.5760000000000001</v>
      </c>
    </row>
    <row r="12" spans="1:9">
      <c r="A12" t="s">
        <v>3988</v>
      </c>
      <c r="B12" t="s">
        <v>1043</v>
      </c>
      <c r="C12" s="2" t="s">
        <v>248</v>
      </c>
      <c r="E12">
        <v>11006.05</v>
      </c>
      <c r="H12">
        <v>2.661</v>
      </c>
    </row>
    <row r="13" spans="1:9">
      <c r="A13" t="s">
        <v>3988</v>
      </c>
      <c r="B13" t="s">
        <v>1050</v>
      </c>
      <c r="C13" s="2" t="s">
        <v>250</v>
      </c>
      <c r="E13">
        <v>11968.23</v>
      </c>
      <c r="H13">
        <v>1.23</v>
      </c>
    </row>
    <row r="14" spans="1:9">
      <c r="A14" t="s">
        <v>3988</v>
      </c>
      <c r="B14" t="s">
        <v>1050</v>
      </c>
      <c r="C14" s="2" t="s">
        <v>248</v>
      </c>
      <c r="E14">
        <v>13974.73</v>
      </c>
      <c r="H14">
        <v>0.68100000000000005</v>
      </c>
    </row>
    <row r="15" spans="1:9">
      <c r="A15" t="s">
        <v>3989</v>
      </c>
      <c r="B15" t="s">
        <v>1068</v>
      </c>
      <c r="C15" s="2" t="s">
        <v>252</v>
      </c>
      <c r="E15">
        <v>12723.07</v>
      </c>
      <c r="H15">
        <v>1.3169999999999999</v>
      </c>
    </row>
    <row r="16" spans="1:9">
      <c r="A16" t="s">
        <v>3989</v>
      </c>
      <c r="B16" t="s">
        <v>1068</v>
      </c>
      <c r="C16" s="2" t="s">
        <v>251</v>
      </c>
      <c r="E16">
        <v>14787.87</v>
      </c>
      <c r="H16">
        <v>1.23</v>
      </c>
    </row>
    <row r="17" spans="1:8">
      <c r="A17" t="s">
        <v>3989</v>
      </c>
      <c r="B17" t="s">
        <v>1068</v>
      </c>
      <c r="C17" s="2" t="s">
        <v>249</v>
      </c>
      <c r="E17">
        <v>16118.69</v>
      </c>
      <c r="H17">
        <v>1.018</v>
      </c>
    </row>
    <row r="18" spans="1:8">
      <c r="A18" t="s">
        <v>3989</v>
      </c>
      <c r="B18" t="s">
        <v>1068</v>
      </c>
      <c r="C18" s="2" t="s">
        <v>250</v>
      </c>
      <c r="E18">
        <v>16943.5</v>
      </c>
      <c r="H18">
        <v>0.41599999999999998</v>
      </c>
    </row>
    <row r="19" spans="1:8">
      <c r="A19" t="s">
        <v>3990</v>
      </c>
      <c r="B19" t="s">
        <v>2544</v>
      </c>
      <c r="C19" s="2" t="s">
        <v>249</v>
      </c>
      <c r="E19">
        <v>13520.69</v>
      </c>
      <c r="H19">
        <v>1.2330000000000001</v>
      </c>
    </row>
    <row r="20" spans="1:8">
      <c r="A20" t="s">
        <v>3990</v>
      </c>
      <c r="B20" t="s">
        <v>2544</v>
      </c>
      <c r="C20" s="2" t="s">
        <v>250</v>
      </c>
      <c r="E20">
        <v>14382.19</v>
      </c>
      <c r="H20">
        <v>1.034</v>
      </c>
    </row>
    <row r="21" spans="1:8">
      <c r="A21" t="s">
        <v>3991</v>
      </c>
      <c r="B21" t="s">
        <v>1047</v>
      </c>
      <c r="C21" s="2" t="s">
        <v>252</v>
      </c>
      <c r="E21">
        <v>16017.94</v>
      </c>
      <c r="H21">
        <v>1.1140000000000001</v>
      </c>
    </row>
    <row r="22" spans="1:8">
      <c r="A22" t="s">
        <v>3991</v>
      </c>
      <c r="B22" t="s">
        <v>1047</v>
      </c>
      <c r="C22" s="2" t="s">
        <v>251</v>
      </c>
      <c r="E22">
        <v>16120.72</v>
      </c>
      <c r="H22">
        <v>0.9</v>
      </c>
    </row>
    <row r="23" spans="1:8">
      <c r="A23" t="s">
        <v>3989</v>
      </c>
      <c r="B23" t="s">
        <v>1060</v>
      </c>
      <c r="C23" s="2" t="s">
        <v>249</v>
      </c>
      <c r="E23">
        <v>23157.57</v>
      </c>
    </row>
    <row r="24" spans="1:8">
      <c r="A24" t="s">
        <v>3989</v>
      </c>
      <c r="B24" t="s">
        <v>1060</v>
      </c>
      <c r="C24" s="2" t="s">
        <v>250</v>
      </c>
      <c r="E24">
        <v>23655.93</v>
      </c>
    </row>
    <row r="25" spans="1:8">
      <c r="A25" t="s">
        <v>3989</v>
      </c>
      <c r="B25" t="s">
        <v>1060</v>
      </c>
      <c r="C25" s="2" t="s">
        <v>248</v>
      </c>
      <c r="E25">
        <v>24686</v>
      </c>
    </row>
    <row r="26" spans="1:8">
      <c r="A26" t="s">
        <v>3989</v>
      </c>
      <c r="B26" t="s">
        <v>1112</v>
      </c>
      <c r="C26" s="2" t="s">
        <v>252</v>
      </c>
      <c r="E26">
        <v>25820.799999999999</v>
      </c>
    </row>
    <row r="27" spans="1:8">
      <c r="A27" t="s">
        <v>3989</v>
      </c>
      <c r="B27" t="s">
        <v>1112</v>
      </c>
      <c r="C27" s="2" t="s">
        <v>251</v>
      </c>
      <c r="E27">
        <v>27876.52</v>
      </c>
    </row>
    <row r="28" spans="1:8">
      <c r="A28" t="s">
        <v>3992</v>
      </c>
      <c r="B28" t="s">
        <v>1098</v>
      </c>
      <c r="C28" s="2" t="s">
        <v>251</v>
      </c>
      <c r="E28">
        <v>27075.26</v>
      </c>
      <c r="H28">
        <v>1.41</v>
      </c>
    </row>
    <row r="29" spans="1:8">
      <c r="A29" t="s">
        <v>3992</v>
      </c>
      <c r="B29" t="s">
        <v>1098</v>
      </c>
      <c r="C29" s="2" t="s">
        <v>249</v>
      </c>
      <c r="E29">
        <v>28859.64</v>
      </c>
      <c r="H29">
        <v>1.33</v>
      </c>
    </row>
    <row r="30" spans="1:8">
      <c r="A30" t="s">
        <v>3992</v>
      </c>
      <c r="B30" t="s">
        <v>1098</v>
      </c>
      <c r="C30" s="2" t="s">
        <v>250</v>
      </c>
      <c r="E30">
        <v>30397.27</v>
      </c>
      <c r="H30">
        <v>1.165</v>
      </c>
    </row>
    <row r="31" spans="1:8">
      <c r="A31" t="s">
        <v>3992</v>
      </c>
      <c r="B31" t="s">
        <v>1098</v>
      </c>
      <c r="C31" s="2" t="s">
        <v>248</v>
      </c>
      <c r="E31">
        <v>31146.68</v>
      </c>
      <c r="H31">
        <v>0.04</v>
      </c>
    </row>
    <row r="32" spans="1:8">
      <c r="A32" t="s">
        <v>3992</v>
      </c>
      <c r="B32" t="s">
        <v>1115</v>
      </c>
      <c r="C32" s="2" t="s">
        <v>252</v>
      </c>
      <c r="E32">
        <v>28542.69</v>
      </c>
      <c r="H32">
        <v>1.181</v>
      </c>
    </row>
    <row r="33" spans="1:8">
      <c r="A33" t="s">
        <v>3992</v>
      </c>
      <c r="B33" t="s">
        <v>1115</v>
      </c>
      <c r="C33" s="2" t="s">
        <v>1702</v>
      </c>
      <c r="E33">
        <v>29104.71</v>
      </c>
      <c r="H33">
        <v>1.2729999999999999</v>
      </c>
    </row>
    <row r="34" spans="1:8">
      <c r="A34" t="s">
        <v>3992</v>
      </c>
      <c r="B34" t="s">
        <v>1115</v>
      </c>
      <c r="C34" s="2" t="s">
        <v>251</v>
      </c>
      <c r="E34">
        <v>31101.75</v>
      </c>
      <c r="H34">
        <v>1.0229999999999999</v>
      </c>
    </row>
    <row r="35" spans="1:8">
      <c r="A35" t="s">
        <v>3992</v>
      </c>
      <c r="B35" t="s">
        <v>1115</v>
      </c>
      <c r="C35" s="2" t="s">
        <v>249</v>
      </c>
      <c r="E35">
        <v>32243.32</v>
      </c>
      <c r="H35">
        <v>0.93700000000000006</v>
      </c>
    </row>
    <row r="36" spans="1:8">
      <c r="A36" t="s">
        <v>3992</v>
      </c>
      <c r="B36" t="s">
        <v>1124</v>
      </c>
      <c r="C36" s="2" t="s">
        <v>252</v>
      </c>
      <c r="E36">
        <v>29430.86</v>
      </c>
      <c r="H36">
        <v>1.2609999999999999</v>
      </c>
    </row>
    <row r="37" spans="1:8">
      <c r="A37" t="s">
        <v>3992</v>
      </c>
      <c r="B37" t="s">
        <v>1124</v>
      </c>
      <c r="C37" s="2" t="s">
        <v>251</v>
      </c>
      <c r="E37">
        <v>29866.34</v>
      </c>
      <c r="H37">
        <v>1.1479999999999999</v>
      </c>
    </row>
    <row r="38" spans="1:8">
      <c r="A38" t="s">
        <v>3992</v>
      </c>
      <c r="B38" t="s">
        <v>1124</v>
      </c>
      <c r="C38" s="2" t="s">
        <v>249</v>
      </c>
      <c r="E38">
        <v>31474.5</v>
      </c>
      <c r="H38">
        <v>0.83399999999999996</v>
      </c>
    </row>
    <row r="39" spans="1:8">
      <c r="A39" t="s">
        <v>3992</v>
      </c>
      <c r="B39" t="s">
        <v>1124</v>
      </c>
      <c r="C39" s="2" t="s">
        <v>250</v>
      </c>
      <c r="E39">
        <v>32277.43</v>
      </c>
      <c r="H39">
        <v>0.55600000000000005</v>
      </c>
    </row>
    <row r="40" spans="1:8">
      <c r="A40" t="s">
        <v>3992</v>
      </c>
      <c r="B40" t="s">
        <v>1158</v>
      </c>
      <c r="C40" s="2" t="s">
        <v>252</v>
      </c>
      <c r="E40">
        <v>31613.78</v>
      </c>
      <c r="H40">
        <v>1.1559999999999999</v>
      </c>
    </row>
    <row r="41" spans="1:8">
      <c r="A41" t="s">
        <v>3992</v>
      </c>
      <c r="B41" t="s">
        <v>1158</v>
      </c>
      <c r="C41" s="2" t="s">
        <v>251</v>
      </c>
      <c r="E41">
        <v>33043.910000000003</v>
      </c>
      <c r="H41">
        <v>0.99099999999999999</v>
      </c>
    </row>
    <row r="42" spans="1:8">
      <c r="A42" t="s">
        <v>3992</v>
      </c>
      <c r="B42" t="s">
        <v>1174</v>
      </c>
      <c r="C42" s="2" t="s">
        <v>251</v>
      </c>
      <c r="E42">
        <v>32004.01</v>
      </c>
      <c r="H42">
        <v>1.1200000000000001</v>
      </c>
    </row>
    <row r="43" spans="1:8">
      <c r="A43" t="s">
        <v>3992</v>
      </c>
      <c r="B43" t="s">
        <v>1174</v>
      </c>
      <c r="C43" s="2" t="s">
        <v>249</v>
      </c>
      <c r="E43">
        <v>33946.339999999997</v>
      </c>
      <c r="H43">
        <v>1.0109999999999999</v>
      </c>
    </row>
    <row r="44" spans="1:8">
      <c r="A44" t="s">
        <v>3992</v>
      </c>
      <c r="B44" t="s">
        <v>1130</v>
      </c>
      <c r="C44" s="2" t="s">
        <v>249</v>
      </c>
      <c r="E44">
        <v>32046.32</v>
      </c>
      <c r="H44">
        <v>0.999</v>
      </c>
    </row>
    <row r="45" spans="1:8">
      <c r="A45" t="s">
        <v>3992</v>
      </c>
      <c r="B45" t="s">
        <v>1130</v>
      </c>
      <c r="C45" s="2" t="s">
        <v>250</v>
      </c>
      <c r="E45">
        <v>33867.040000000001</v>
      </c>
      <c r="H45">
        <v>0.91300000000000003</v>
      </c>
    </row>
    <row r="46" spans="1:8">
      <c r="A46" t="s">
        <v>3993</v>
      </c>
      <c r="B46" t="s">
        <v>1143</v>
      </c>
      <c r="C46" s="2" t="s">
        <v>249</v>
      </c>
      <c r="E46">
        <v>35333.85</v>
      </c>
      <c r="H46">
        <v>1.47</v>
      </c>
    </row>
    <row r="47" spans="1:8">
      <c r="A47" t="s">
        <v>3993</v>
      </c>
      <c r="B47" t="s">
        <v>1143</v>
      </c>
      <c r="C47" s="2" t="s">
        <v>250</v>
      </c>
      <c r="E47">
        <v>35404.239999999998</v>
      </c>
      <c r="H47">
        <v>1.4510000000000001</v>
      </c>
    </row>
    <row r="48" spans="1:8">
      <c r="A48" t="s">
        <v>3993</v>
      </c>
      <c r="B48" t="s">
        <v>1143</v>
      </c>
      <c r="C48" s="2" t="s">
        <v>248</v>
      </c>
      <c r="E48">
        <v>35669.5</v>
      </c>
      <c r="H48">
        <v>2.0640000000000001</v>
      </c>
    </row>
    <row r="49" spans="1:8">
      <c r="B49" t="s">
        <v>3596</v>
      </c>
      <c r="C49" s="2" t="s">
        <v>251</v>
      </c>
      <c r="E49">
        <v>36132.720000000001</v>
      </c>
      <c r="H49">
        <v>1.4730000000000001</v>
      </c>
    </row>
    <row r="50" spans="1:8">
      <c r="A50" t="s">
        <v>3993</v>
      </c>
      <c r="B50" t="s">
        <v>1161</v>
      </c>
      <c r="C50" s="2" t="s">
        <v>251</v>
      </c>
      <c r="E50">
        <v>36787.480000000003</v>
      </c>
      <c r="H50">
        <v>1.3460000000000001</v>
      </c>
    </row>
    <row r="51" spans="1:8">
      <c r="A51" t="s">
        <v>3993</v>
      </c>
      <c r="B51" t="s">
        <v>1161</v>
      </c>
      <c r="C51" s="2" t="s">
        <v>249</v>
      </c>
      <c r="E51">
        <v>36985.25</v>
      </c>
      <c r="H51">
        <v>1.1499999999999999</v>
      </c>
    </row>
    <row r="52" spans="1:8">
      <c r="A52" t="s">
        <v>3993</v>
      </c>
      <c r="B52" t="s">
        <v>1161</v>
      </c>
      <c r="C52" s="2" t="s">
        <v>250</v>
      </c>
      <c r="E52">
        <v>38038.120000000003</v>
      </c>
      <c r="H52">
        <v>1.1339999999999999</v>
      </c>
    </row>
    <row r="53" spans="1:8">
      <c r="A53" t="s">
        <v>3993</v>
      </c>
      <c r="B53" t="s">
        <v>1161</v>
      </c>
      <c r="C53" s="2" t="s">
        <v>248</v>
      </c>
      <c r="E53">
        <v>38474.43</v>
      </c>
      <c r="H53">
        <v>-0.16</v>
      </c>
    </row>
    <row r="54" spans="1:8">
      <c r="B54" t="s">
        <v>3600</v>
      </c>
      <c r="C54" s="2" t="s">
        <v>249</v>
      </c>
      <c r="E54">
        <v>37300.5</v>
      </c>
      <c r="H54">
        <v>1.4</v>
      </c>
    </row>
    <row r="55" spans="1:8">
      <c r="A55" t="s">
        <v>3993</v>
      </c>
      <c r="B55" t="s">
        <v>1234</v>
      </c>
      <c r="C55" s="2" t="s">
        <v>248</v>
      </c>
      <c r="E55">
        <v>37368.620000000003</v>
      </c>
      <c r="H55">
        <v>1.3420000000000001</v>
      </c>
    </row>
    <row r="56" spans="1:8">
      <c r="A56" t="s">
        <v>3993</v>
      </c>
      <c r="B56" t="s">
        <v>1234</v>
      </c>
      <c r="C56" s="2" t="s">
        <v>250</v>
      </c>
      <c r="E56">
        <v>38210.959999999999</v>
      </c>
      <c r="H56">
        <v>1.21</v>
      </c>
    </row>
    <row r="57" spans="1:8">
      <c r="B57" t="s">
        <v>3602</v>
      </c>
      <c r="C57" s="2" t="s">
        <v>251</v>
      </c>
      <c r="E57">
        <v>38012.75</v>
      </c>
      <c r="H57">
        <v>1.4359999999999999</v>
      </c>
    </row>
    <row r="58" spans="1:8">
      <c r="B58" t="s">
        <v>105</v>
      </c>
      <c r="C58" s="2" t="s">
        <v>250</v>
      </c>
      <c r="E58">
        <v>38668.83</v>
      </c>
      <c r="H58">
        <v>1.2889999999999999</v>
      </c>
    </row>
    <row r="59" spans="1:8">
      <c r="A59" t="s">
        <v>3993</v>
      </c>
      <c r="B59" t="s">
        <v>2404</v>
      </c>
      <c r="C59" s="2" t="s">
        <v>249</v>
      </c>
      <c r="E59">
        <v>38718.11</v>
      </c>
      <c r="H59">
        <v>1.3819999999999999</v>
      </c>
    </row>
    <row r="60" spans="1:8">
      <c r="A60" t="s">
        <v>3993</v>
      </c>
      <c r="B60" t="s">
        <v>2404</v>
      </c>
      <c r="C60" s="2" t="s">
        <v>250</v>
      </c>
      <c r="E60">
        <v>39525.279999999999</v>
      </c>
      <c r="H60">
        <v>1.494</v>
      </c>
    </row>
    <row r="61" spans="1:8">
      <c r="B61" t="s">
        <v>2622</v>
      </c>
      <c r="C61" s="2" t="s">
        <v>248</v>
      </c>
      <c r="E61">
        <v>38806.639999999999</v>
      </c>
      <c r="H61">
        <v>-7.1999999999999995E-2</v>
      </c>
    </row>
    <row r="62" spans="1:8">
      <c r="B62" t="s">
        <v>112</v>
      </c>
      <c r="C62" s="2" t="s">
        <v>249</v>
      </c>
      <c r="E62">
        <v>39126.76</v>
      </c>
      <c r="H62">
        <v>1.323</v>
      </c>
    </row>
    <row r="63" spans="1:8">
      <c r="A63" t="s">
        <v>3994</v>
      </c>
      <c r="B63" t="s">
        <v>2649</v>
      </c>
      <c r="C63" s="2" t="s">
        <v>250</v>
      </c>
      <c r="E63">
        <v>39231.379999999997</v>
      </c>
      <c r="H63">
        <v>1.2629999999999999</v>
      </c>
    </row>
    <row r="64" spans="1:8">
      <c r="A64" t="s">
        <v>3994</v>
      </c>
      <c r="B64" t="s">
        <v>2649</v>
      </c>
      <c r="C64" s="2" t="s">
        <v>248</v>
      </c>
      <c r="E64">
        <v>43729.02</v>
      </c>
      <c r="H64">
        <v>0.68700000000000006</v>
      </c>
    </row>
    <row r="65" spans="1:8">
      <c r="B65" t="s">
        <v>114</v>
      </c>
      <c r="C65" s="2" t="s">
        <v>251</v>
      </c>
      <c r="E65">
        <v>39494</v>
      </c>
      <c r="H65">
        <v>1.18</v>
      </c>
    </row>
    <row r="66" spans="1:8">
      <c r="B66" t="s">
        <v>118</v>
      </c>
      <c r="C66" s="2" t="s">
        <v>249</v>
      </c>
      <c r="E66">
        <v>39788.089999999997</v>
      </c>
      <c r="H66">
        <v>1.111</v>
      </c>
    </row>
    <row r="67" spans="1:8">
      <c r="B67" t="s">
        <v>119</v>
      </c>
      <c r="C67" s="2" t="s">
        <v>249</v>
      </c>
      <c r="E67">
        <v>39981.300000000003</v>
      </c>
      <c r="H67">
        <v>1.0449999999999999</v>
      </c>
    </row>
    <row r="68" spans="1:8">
      <c r="B68" t="s">
        <v>120</v>
      </c>
      <c r="C68" s="2" t="s">
        <v>250</v>
      </c>
      <c r="E68">
        <v>40134.42</v>
      </c>
      <c r="H68">
        <v>1.23</v>
      </c>
    </row>
    <row r="69" spans="1:8">
      <c r="A69" t="s">
        <v>3994</v>
      </c>
      <c r="B69" t="s">
        <v>1249</v>
      </c>
      <c r="C69" s="2" t="s">
        <v>251</v>
      </c>
      <c r="E69">
        <v>40284.83</v>
      </c>
      <c r="H69">
        <v>1.204</v>
      </c>
    </row>
    <row r="70" spans="1:8">
      <c r="A70" t="s">
        <v>3994</v>
      </c>
      <c r="B70" t="s">
        <v>1249</v>
      </c>
      <c r="C70" s="2" t="s">
        <v>249</v>
      </c>
      <c r="E70">
        <v>40576.949999999997</v>
      </c>
      <c r="H70">
        <v>1.0680000000000001</v>
      </c>
    </row>
    <row r="71" spans="1:8">
      <c r="A71" t="s">
        <v>3995</v>
      </c>
      <c r="B71" t="s">
        <v>3251</v>
      </c>
      <c r="C71" s="2" t="s">
        <v>248</v>
      </c>
    </row>
    <row r="72" spans="1:8">
      <c r="A72" t="s">
        <v>3995</v>
      </c>
      <c r="B72" t="s">
        <v>3251</v>
      </c>
      <c r="C72" s="2" t="s">
        <v>250</v>
      </c>
      <c r="E72">
        <v>40603.480000000003</v>
      </c>
      <c r="H72">
        <v>1.268</v>
      </c>
    </row>
    <row r="73" spans="1:8">
      <c r="A73" t="s">
        <v>3993</v>
      </c>
      <c r="B73" t="s">
        <v>2623</v>
      </c>
      <c r="C73" s="2" t="s">
        <v>248</v>
      </c>
      <c r="E73">
        <v>40604.519999999997</v>
      </c>
      <c r="H73">
        <v>1.87</v>
      </c>
    </row>
    <row r="74" spans="1:8">
      <c r="A74" t="s">
        <v>3993</v>
      </c>
      <c r="B74" t="s">
        <v>2256</v>
      </c>
      <c r="C74" s="2" t="s">
        <v>250</v>
      </c>
      <c r="E74">
        <v>40900</v>
      </c>
      <c r="H74">
        <v>1.232</v>
      </c>
    </row>
    <row r="75" spans="1:8">
      <c r="B75" t="s">
        <v>121</v>
      </c>
      <c r="C75" s="2" t="s">
        <v>249</v>
      </c>
      <c r="E75">
        <v>41443.67</v>
      </c>
      <c r="H75">
        <v>1.9830000000000001</v>
      </c>
    </row>
    <row r="76" spans="1:8">
      <c r="A76" t="s">
        <v>3996</v>
      </c>
      <c r="B76" t="s">
        <v>1304</v>
      </c>
      <c r="C76" s="2" t="s">
        <v>252</v>
      </c>
      <c r="E76">
        <v>41880.86</v>
      </c>
      <c r="H76">
        <v>1.31</v>
      </c>
    </row>
    <row r="77" spans="1:8">
      <c r="A77" t="s">
        <v>3996</v>
      </c>
      <c r="B77" t="s">
        <v>1304</v>
      </c>
      <c r="C77" s="2" t="s">
        <v>251</v>
      </c>
      <c r="E77">
        <v>44444.52</v>
      </c>
      <c r="H77">
        <v>1.22</v>
      </c>
    </row>
    <row r="78" spans="1:8">
      <c r="A78" t="s">
        <v>3996</v>
      </c>
      <c r="B78" t="s">
        <v>1304</v>
      </c>
      <c r="C78" s="2" t="s">
        <v>249</v>
      </c>
      <c r="E78">
        <v>45471.24</v>
      </c>
    </row>
    <row r="79" spans="1:8">
      <c r="A79" t="s">
        <v>3996</v>
      </c>
      <c r="B79" t="s">
        <v>1304</v>
      </c>
      <c r="C79" s="2" t="s">
        <v>250</v>
      </c>
      <c r="E79">
        <v>45811.72</v>
      </c>
    </row>
    <row r="80" spans="1:8">
      <c r="B80" t="s">
        <v>122</v>
      </c>
      <c r="C80" s="2" t="s">
        <v>252</v>
      </c>
      <c r="E80">
        <v>41953.07</v>
      </c>
      <c r="H80">
        <v>1.127</v>
      </c>
    </row>
    <row r="81" spans="1:8">
      <c r="A81" t="s">
        <v>3996</v>
      </c>
      <c r="B81" t="s">
        <v>1554</v>
      </c>
      <c r="C81" s="2" t="s">
        <v>251</v>
      </c>
      <c r="E81">
        <v>42292.51</v>
      </c>
    </row>
    <row r="82" spans="1:8">
      <c r="A82" t="s">
        <v>3996</v>
      </c>
      <c r="B82" t="s">
        <v>1554</v>
      </c>
      <c r="C82" s="2" t="s">
        <v>249</v>
      </c>
      <c r="E82">
        <v>44474.68</v>
      </c>
    </row>
    <row r="83" spans="1:8">
      <c r="B83" t="s">
        <v>123</v>
      </c>
      <c r="C83" s="2" t="s">
        <v>252</v>
      </c>
      <c r="E83">
        <v>42325.46</v>
      </c>
      <c r="H83">
        <v>1.113</v>
      </c>
    </row>
    <row r="84" spans="1:8">
      <c r="A84" t="s">
        <v>3994</v>
      </c>
      <c r="B84" t="s">
        <v>1293</v>
      </c>
      <c r="C84" s="2" t="s">
        <v>250</v>
      </c>
      <c r="E84">
        <v>42431.48</v>
      </c>
      <c r="H84">
        <v>1.3460000000000001</v>
      </c>
    </row>
    <row r="85" spans="1:8">
      <c r="A85" t="s">
        <v>3994</v>
      </c>
      <c r="B85" t="s">
        <v>1293</v>
      </c>
      <c r="C85" s="2" t="s">
        <v>249</v>
      </c>
      <c r="E85">
        <v>43421.4</v>
      </c>
      <c r="H85">
        <v>1.008</v>
      </c>
    </row>
    <row r="86" spans="1:8">
      <c r="B86" t="s">
        <v>128</v>
      </c>
      <c r="C86" s="2" t="s">
        <v>251</v>
      </c>
      <c r="E86">
        <v>42495.48</v>
      </c>
      <c r="H86">
        <v>1.2310000000000001</v>
      </c>
    </row>
    <row r="87" spans="1:8">
      <c r="B87" t="s">
        <v>130</v>
      </c>
      <c r="C87" s="2" t="s">
        <v>252</v>
      </c>
      <c r="E87">
        <v>43042.31</v>
      </c>
      <c r="H87">
        <v>1.119</v>
      </c>
    </row>
    <row r="88" spans="1:8">
      <c r="B88" t="s">
        <v>135</v>
      </c>
      <c r="C88" s="2" t="s">
        <v>251</v>
      </c>
      <c r="E88">
        <v>43047.54</v>
      </c>
      <c r="H88">
        <v>1.139</v>
      </c>
    </row>
    <row r="89" spans="1:8">
      <c r="A89" t="s">
        <v>3997</v>
      </c>
      <c r="B89" t="s">
        <v>1252</v>
      </c>
      <c r="C89" s="2" t="s">
        <v>252</v>
      </c>
    </row>
    <row r="90" spans="1:8">
      <c r="A90" t="s">
        <v>3997</v>
      </c>
      <c r="B90" t="s">
        <v>1252</v>
      </c>
      <c r="C90" s="2" t="s">
        <v>1702</v>
      </c>
      <c r="E90">
        <v>43070.04</v>
      </c>
      <c r="H90">
        <v>1.097</v>
      </c>
    </row>
    <row r="91" spans="1:8">
      <c r="A91" t="s">
        <v>3997</v>
      </c>
      <c r="B91" t="s">
        <v>1296</v>
      </c>
      <c r="C91" s="2" t="s">
        <v>249</v>
      </c>
      <c r="E91">
        <v>43777.07</v>
      </c>
      <c r="H91">
        <v>0.95699999999999996</v>
      </c>
    </row>
    <row r="92" spans="1:8">
      <c r="A92" t="s">
        <v>3997</v>
      </c>
      <c r="B92" t="s">
        <v>1296</v>
      </c>
      <c r="C92" s="2" t="s">
        <v>251</v>
      </c>
      <c r="E92">
        <v>43904.73</v>
      </c>
      <c r="H92">
        <v>1.069</v>
      </c>
    </row>
    <row r="93" spans="1:8">
      <c r="B93" t="s">
        <v>137</v>
      </c>
      <c r="C93" s="2" t="s">
        <v>251</v>
      </c>
      <c r="E93">
        <v>44588.12</v>
      </c>
      <c r="H93">
        <v>1.26</v>
      </c>
    </row>
    <row r="94" spans="1:8">
      <c r="B94" t="s">
        <v>2696</v>
      </c>
      <c r="C94" s="2" t="s">
        <v>250</v>
      </c>
      <c r="E94">
        <v>44620.63</v>
      </c>
      <c r="H94">
        <v>0.52</v>
      </c>
    </row>
    <row r="95" spans="1:8">
      <c r="B95" t="s">
        <v>139</v>
      </c>
      <c r="C95" s="2" t="s">
        <v>249</v>
      </c>
      <c r="E95">
        <v>44786.67</v>
      </c>
      <c r="H95">
        <v>0.65400000000000003</v>
      </c>
    </row>
    <row r="96" spans="1:8">
      <c r="A96" t="s">
        <v>3997</v>
      </c>
      <c r="B96" t="s">
        <v>1243</v>
      </c>
      <c r="C96" s="2" t="s">
        <v>251</v>
      </c>
      <c r="E96">
        <v>45177.63</v>
      </c>
      <c r="H96">
        <v>0.94799999999999995</v>
      </c>
    </row>
    <row r="97" spans="1:8">
      <c r="A97" t="s">
        <v>3997</v>
      </c>
      <c r="B97" t="s">
        <v>1243</v>
      </c>
      <c r="C97" s="2" t="s">
        <v>252</v>
      </c>
      <c r="E97">
        <v>45315.54</v>
      </c>
      <c r="H97">
        <v>1.1060000000000001</v>
      </c>
    </row>
    <row r="98" spans="1:8">
      <c r="B98" t="s">
        <v>2697</v>
      </c>
      <c r="C98" s="2" t="s">
        <v>249</v>
      </c>
      <c r="E98">
        <v>45683.41</v>
      </c>
      <c r="H98">
        <v>1.2370000000000001</v>
      </c>
    </row>
    <row r="99" spans="1:8">
      <c r="B99" t="s">
        <v>142</v>
      </c>
      <c r="C99" s="2" t="s">
        <v>250</v>
      </c>
      <c r="E99">
        <v>46280.09</v>
      </c>
      <c r="H99">
        <v>1.089</v>
      </c>
    </row>
    <row r="100" spans="1:8">
      <c r="B100" t="s">
        <v>144</v>
      </c>
      <c r="C100" s="2" t="s">
        <v>252</v>
      </c>
      <c r="E100">
        <v>46511.1</v>
      </c>
      <c r="H100">
        <v>1.115</v>
      </c>
    </row>
    <row r="101" spans="1:8">
      <c r="B101" t="s">
        <v>145</v>
      </c>
      <c r="C101" s="2" t="s">
        <v>248</v>
      </c>
      <c r="E101">
        <v>46752.86</v>
      </c>
      <c r="H101">
        <v>2.4E-2</v>
      </c>
    </row>
    <row r="102" spans="1:8">
      <c r="B102">
        <v>1</v>
      </c>
      <c r="C102" s="2" t="s">
        <v>251</v>
      </c>
      <c r="E102">
        <v>47713.63</v>
      </c>
      <c r="H102">
        <v>1.38</v>
      </c>
    </row>
    <row r="103" spans="1:8">
      <c r="B103">
        <v>2</v>
      </c>
      <c r="C103" s="2" t="s">
        <v>1702</v>
      </c>
      <c r="E103">
        <v>47793.54</v>
      </c>
      <c r="H103">
        <v>1.1200000000000001</v>
      </c>
    </row>
    <row r="104" spans="1:8">
      <c r="B104">
        <v>3</v>
      </c>
      <c r="C104" s="2" t="s">
        <v>3998</v>
      </c>
      <c r="E104">
        <v>47832.35</v>
      </c>
      <c r="H104">
        <v>1.33</v>
      </c>
    </row>
    <row r="105" spans="1:8">
      <c r="B105">
        <v>4</v>
      </c>
      <c r="C105" s="2" t="s">
        <v>252</v>
      </c>
      <c r="E105">
        <v>47857.39</v>
      </c>
      <c r="H105">
        <v>1.25</v>
      </c>
    </row>
    <row r="106" spans="1:8">
      <c r="B106">
        <v>5</v>
      </c>
      <c r="C106" s="2" t="s">
        <v>2763</v>
      </c>
      <c r="E106">
        <v>47862.14</v>
      </c>
    </row>
    <row r="107" spans="1:8">
      <c r="B107">
        <v>6</v>
      </c>
      <c r="C107" s="2" t="s">
        <v>251</v>
      </c>
      <c r="E107">
        <v>47896.92</v>
      </c>
    </row>
    <row r="108" spans="1:8">
      <c r="B108">
        <v>7</v>
      </c>
      <c r="C108" s="2" t="s">
        <v>252</v>
      </c>
      <c r="E108">
        <v>47928.07</v>
      </c>
      <c r="H108">
        <v>1.1499999999999999</v>
      </c>
    </row>
    <row r="109" spans="1:8">
      <c r="B109" t="s">
        <v>146</v>
      </c>
      <c r="C109" s="2" t="s">
        <v>249</v>
      </c>
      <c r="E109">
        <v>47954.2</v>
      </c>
      <c r="H109">
        <v>-8.3000000000000004E-2</v>
      </c>
    </row>
    <row r="110" spans="1:8">
      <c r="B110">
        <v>8</v>
      </c>
      <c r="C110" s="2" t="s">
        <v>249</v>
      </c>
      <c r="E110">
        <v>48239.040000000001</v>
      </c>
      <c r="H110">
        <v>1.2</v>
      </c>
    </row>
    <row r="111" spans="1:8">
      <c r="B111" t="s">
        <v>147</v>
      </c>
      <c r="C111" s="2" t="s">
        <v>249</v>
      </c>
      <c r="E111">
        <v>48797.74</v>
      </c>
      <c r="H111">
        <v>1.0660000000000001</v>
      </c>
    </row>
    <row r="112" spans="1:8">
      <c r="B112" t="s">
        <v>148</v>
      </c>
      <c r="C112" s="2" t="s">
        <v>251</v>
      </c>
      <c r="E112">
        <v>48811.47</v>
      </c>
      <c r="H112">
        <v>0.92800000000000005</v>
      </c>
    </row>
    <row r="113" spans="2:8">
      <c r="B113" t="s">
        <v>149</v>
      </c>
      <c r="C113" s="2" t="s">
        <v>249</v>
      </c>
      <c r="E113">
        <v>49713.3</v>
      </c>
    </row>
    <row r="114" spans="2:8">
      <c r="B114">
        <v>9</v>
      </c>
      <c r="C114" s="2" t="s">
        <v>249</v>
      </c>
      <c r="E114">
        <v>50042.87</v>
      </c>
    </row>
    <row r="115" spans="2:8">
      <c r="B115">
        <v>10</v>
      </c>
      <c r="C115" s="2" t="s">
        <v>2861</v>
      </c>
      <c r="E115">
        <v>50111.87</v>
      </c>
      <c r="H115">
        <v>1.36</v>
      </c>
    </row>
    <row r="116" spans="2:8">
      <c r="B116" t="s">
        <v>150</v>
      </c>
      <c r="C116" s="2" t="s">
        <v>249</v>
      </c>
      <c r="E116">
        <v>50146.6</v>
      </c>
    </row>
    <row r="117" spans="2:8">
      <c r="B117">
        <v>11</v>
      </c>
      <c r="C117" s="2" t="s">
        <v>3999</v>
      </c>
      <c r="E117">
        <v>50190.8</v>
      </c>
      <c r="H117">
        <v>1</v>
      </c>
    </row>
    <row r="118" spans="2:8">
      <c r="B118">
        <v>12</v>
      </c>
      <c r="C118" s="2" t="s">
        <v>1702</v>
      </c>
      <c r="E118">
        <v>50199.18</v>
      </c>
      <c r="H118">
        <v>1.1200000000000001</v>
      </c>
    </row>
    <row r="119" spans="2:8">
      <c r="B119">
        <v>13</v>
      </c>
      <c r="C119" s="2" t="s">
        <v>249</v>
      </c>
      <c r="E119">
        <v>50207.73</v>
      </c>
    </row>
    <row r="120" spans="2:8">
      <c r="B120">
        <v>14</v>
      </c>
      <c r="C120" s="2" t="s">
        <v>251</v>
      </c>
      <c r="E120">
        <v>50233.05</v>
      </c>
      <c r="H120">
        <v>1.1200000000000001</v>
      </c>
    </row>
    <row r="121" spans="2:8">
      <c r="B121">
        <v>15</v>
      </c>
      <c r="C121" s="2" t="s">
        <v>3999</v>
      </c>
      <c r="E121">
        <v>50277.62</v>
      </c>
      <c r="H121">
        <v>1.1499999999999999</v>
      </c>
    </row>
    <row r="122" spans="2:8">
      <c r="B122">
        <v>16</v>
      </c>
      <c r="C122" s="2" t="s">
        <v>251</v>
      </c>
      <c r="E122">
        <v>50284.72</v>
      </c>
      <c r="H122">
        <v>0.97</v>
      </c>
    </row>
    <row r="123" spans="2:8">
      <c r="B123">
        <v>17</v>
      </c>
      <c r="C123" s="2" t="s">
        <v>250</v>
      </c>
      <c r="E123">
        <v>50290.06</v>
      </c>
    </row>
    <row r="124" spans="2:8">
      <c r="B124">
        <v>18</v>
      </c>
      <c r="C124" s="2" t="s">
        <v>249</v>
      </c>
      <c r="E124">
        <v>50408.21</v>
      </c>
      <c r="H124">
        <v>1.02</v>
      </c>
    </row>
    <row r="125" spans="2:8">
      <c r="B125">
        <v>19</v>
      </c>
      <c r="C125" s="2" t="s">
        <v>250</v>
      </c>
      <c r="E125">
        <v>50451.97</v>
      </c>
    </row>
    <row r="126" spans="2:8">
      <c r="B126" t="s">
        <v>151</v>
      </c>
      <c r="C126" s="2" t="s">
        <v>250</v>
      </c>
      <c r="E126">
        <v>50721.440000000002</v>
      </c>
    </row>
    <row r="127" spans="2:8">
      <c r="B127">
        <v>20</v>
      </c>
      <c r="C127" s="2" t="s">
        <v>249</v>
      </c>
      <c r="E127">
        <v>51324.35</v>
      </c>
    </row>
    <row r="128" spans="2:8">
      <c r="B128">
        <v>21</v>
      </c>
      <c r="C128" s="2" t="s">
        <v>251</v>
      </c>
      <c r="E128">
        <v>51356.22</v>
      </c>
      <c r="H128">
        <v>0.74</v>
      </c>
    </row>
    <row r="129" spans="1:9">
      <c r="B129">
        <v>22</v>
      </c>
      <c r="C129" s="2" t="s">
        <v>2861</v>
      </c>
      <c r="E129">
        <v>51419.45</v>
      </c>
    </row>
    <row r="130" spans="1:9">
      <c r="B130">
        <v>23</v>
      </c>
      <c r="C130" s="2" t="s">
        <v>4000</v>
      </c>
      <c r="E130">
        <v>51477.77</v>
      </c>
    </row>
    <row r="131" spans="1:9">
      <c r="B131" t="s">
        <v>152</v>
      </c>
      <c r="C131" s="2" t="s">
        <v>4000</v>
      </c>
      <c r="E131">
        <v>51608.71</v>
      </c>
    </row>
    <row r="132" spans="1:9">
      <c r="B132">
        <v>24</v>
      </c>
      <c r="C132" s="2" t="s">
        <v>250</v>
      </c>
      <c r="E132">
        <v>51636.54</v>
      </c>
      <c r="H132">
        <v>0.92</v>
      </c>
    </row>
    <row r="133" spans="1:9">
      <c r="B133" t="s">
        <v>153</v>
      </c>
      <c r="C133" s="2" t="s">
        <v>251</v>
      </c>
      <c r="E133">
        <v>52065.37</v>
      </c>
      <c r="H133">
        <v>0.96</v>
      </c>
    </row>
    <row r="134" spans="1:9">
      <c r="B134">
        <v>25</v>
      </c>
      <c r="C134" s="2" t="s">
        <v>250</v>
      </c>
      <c r="E134">
        <v>52413.279999999999</v>
      </c>
    </row>
    <row r="135" spans="1:9">
      <c r="B135">
        <v>26</v>
      </c>
      <c r="C135" s="2" t="s">
        <v>2783</v>
      </c>
      <c r="E135">
        <v>52473.55</v>
      </c>
    </row>
    <row r="136" spans="1:9">
      <c r="B136" t="s">
        <v>154</v>
      </c>
      <c r="C136" s="2" t="s">
        <v>2861</v>
      </c>
      <c r="E136">
        <v>53599.28</v>
      </c>
    </row>
    <row r="137" spans="1:9">
      <c r="B137">
        <v>27</v>
      </c>
      <c r="C137" s="2" t="s">
        <v>250</v>
      </c>
      <c r="E137">
        <v>56087.6</v>
      </c>
    </row>
    <row r="138" spans="1:9">
      <c r="B138">
        <v>28</v>
      </c>
      <c r="C138" s="2" t="s">
        <v>2861</v>
      </c>
      <c r="E138">
        <v>57610.48</v>
      </c>
    </row>
    <row r="139" spans="1:9">
      <c r="A139" t="s">
        <v>4001</v>
      </c>
      <c r="B139" t="s">
        <v>202</v>
      </c>
      <c r="C139" s="2" t="s">
        <v>203</v>
      </c>
      <c r="E139">
        <v>60160.1</v>
      </c>
      <c r="G139">
        <v>0.4</v>
      </c>
      <c r="I139" t="s">
        <v>204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DEA7-5CE0-442D-A760-BA0B07CBB709}">
  <dimension ref="A1:J146"/>
  <sheetViews>
    <sheetView workbookViewId="0">
      <selection sqref="A1:J1048576"/>
    </sheetView>
  </sheetViews>
  <sheetFormatPr defaultRowHeight="15"/>
  <cols>
    <col min="1" max="1" width="17.7109375" bestFit="1" customWidth="1"/>
    <col min="2" max="2" width="8.2851562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19.42578125" bestFit="1" customWidth="1"/>
    <col min="10" max="10" width="10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4002</v>
      </c>
      <c r="B2" t="s">
        <v>264</v>
      </c>
      <c r="C2">
        <v>0</v>
      </c>
      <c r="E2">
        <v>0</v>
      </c>
      <c r="H2">
        <v>0</v>
      </c>
      <c r="I2">
        <v>100</v>
      </c>
      <c r="J2" t="s">
        <v>4003</v>
      </c>
    </row>
    <row r="3" spans="1:10">
      <c r="A3" t="s">
        <v>4004</v>
      </c>
      <c r="B3" t="s">
        <v>319</v>
      </c>
      <c r="C3">
        <v>3</v>
      </c>
      <c r="E3">
        <v>6564.1480000000001</v>
      </c>
      <c r="H3">
        <v>1.333</v>
      </c>
      <c r="I3">
        <v>100</v>
      </c>
    </row>
    <row r="4" spans="1:10">
      <c r="A4" t="s">
        <v>4004</v>
      </c>
      <c r="B4" t="s">
        <v>319</v>
      </c>
      <c r="C4">
        <v>2</v>
      </c>
      <c r="E4">
        <v>7755.0249999999996</v>
      </c>
      <c r="H4">
        <v>1.1279999999999999</v>
      </c>
      <c r="I4">
        <v>86</v>
      </c>
    </row>
    <row r="5" spans="1:10">
      <c r="A5" t="s">
        <v>4005</v>
      </c>
      <c r="B5" t="s">
        <v>337</v>
      </c>
      <c r="C5">
        <v>1</v>
      </c>
      <c r="E5">
        <v>10093.992</v>
      </c>
      <c r="H5">
        <v>0.497</v>
      </c>
      <c r="I5">
        <v>100</v>
      </c>
    </row>
    <row r="6" spans="1:10">
      <c r="A6" t="s">
        <v>4005</v>
      </c>
      <c r="B6" t="s">
        <v>337</v>
      </c>
      <c r="C6">
        <v>2</v>
      </c>
      <c r="E6">
        <v>11721.808999999999</v>
      </c>
      <c r="H6">
        <v>1.04</v>
      </c>
      <c r="I6">
        <v>86</v>
      </c>
    </row>
    <row r="7" spans="1:10">
      <c r="A7" t="s">
        <v>4006</v>
      </c>
      <c r="B7" t="s">
        <v>254</v>
      </c>
      <c r="C7">
        <v>4</v>
      </c>
      <c r="E7">
        <v>25101.235000000001</v>
      </c>
      <c r="I7">
        <v>99</v>
      </c>
    </row>
    <row r="8" spans="1:10">
      <c r="A8" t="s">
        <v>4006</v>
      </c>
      <c r="B8" t="s">
        <v>254</v>
      </c>
      <c r="C8">
        <v>3</v>
      </c>
      <c r="E8">
        <v>28213.767</v>
      </c>
      <c r="I8">
        <v>100</v>
      </c>
    </row>
    <row r="9" spans="1:10">
      <c r="A9" t="s">
        <v>4006</v>
      </c>
      <c r="B9" t="s">
        <v>254</v>
      </c>
      <c r="C9">
        <v>2</v>
      </c>
      <c r="E9">
        <v>29711.109</v>
      </c>
      <c r="I9">
        <v>90</v>
      </c>
    </row>
    <row r="10" spans="1:10">
      <c r="A10" t="s">
        <v>4007</v>
      </c>
      <c r="B10" t="s">
        <v>388</v>
      </c>
      <c r="C10">
        <v>2</v>
      </c>
      <c r="E10">
        <v>34068.976999999999</v>
      </c>
      <c r="H10">
        <v>1.482</v>
      </c>
      <c r="I10">
        <v>93</v>
      </c>
    </row>
    <row r="11" spans="1:10">
      <c r="A11" t="s">
        <v>4007</v>
      </c>
      <c r="B11" t="s">
        <v>388</v>
      </c>
      <c r="C11">
        <v>1</v>
      </c>
      <c r="E11">
        <v>36180.677000000003</v>
      </c>
      <c r="H11">
        <v>1.3959999999999999</v>
      </c>
      <c r="I11">
        <v>65</v>
      </c>
    </row>
    <row r="12" spans="1:10">
      <c r="A12" t="s">
        <v>4006</v>
      </c>
      <c r="B12" t="s">
        <v>266</v>
      </c>
      <c r="C12">
        <v>2</v>
      </c>
      <c r="E12">
        <v>35041.750999999997</v>
      </c>
      <c r="I12">
        <v>71</v>
      </c>
    </row>
    <row r="13" spans="1:10">
      <c r="A13" t="s">
        <v>4006</v>
      </c>
      <c r="B13" t="s">
        <v>266</v>
      </c>
      <c r="C13">
        <v>1</v>
      </c>
      <c r="E13">
        <v>37884.720999999998</v>
      </c>
      <c r="I13">
        <v>100</v>
      </c>
    </row>
    <row r="14" spans="1:10">
      <c r="A14" t="s">
        <v>4007</v>
      </c>
      <c r="B14" t="s">
        <v>389</v>
      </c>
      <c r="C14">
        <v>3</v>
      </c>
      <c r="E14">
        <v>35451.442999999999</v>
      </c>
      <c r="H14">
        <v>1.0629999999999999</v>
      </c>
      <c r="I14">
        <v>90</v>
      </c>
    </row>
    <row r="15" spans="1:10">
      <c r="A15" t="s">
        <v>4007</v>
      </c>
      <c r="B15" t="s">
        <v>389</v>
      </c>
      <c r="C15">
        <v>4</v>
      </c>
      <c r="E15">
        <v>35927.947999999997</v>
      </c>
      <c r="H15">
        <v>1.25</v>
      </c>
      <c r="I15">
        <v>98</v>
      </c>
    </row>
    <row r="16" spans="1:10">
      <c r="A16" t="s">
        <v>4007</v>
      </c>
      <c r="B16" t="s">
        <v>390</v>
      </c>
      <c r="C16">
        <v>2</v>
      </c>
      <c r="E16">
        <v>36975.972999999998</v>
      </c>
      <c r="H16">
        <v>0.98799999999999999</v>
      </c>
      <c r="I16">
        <v>89</v>
      </c>
    </row>
    <row r="17" spans="1:9">
      <c r="A17" t="s">
        <v>4007</v>
      </c>
      <c r="B17" t="s">
        <v>390</v>
      </c>
      <c r="C17">
        <v>3</v>
      </c>
      <c r="E17">
        <v>37393.762000000002</v>
      </c>
      <c r="H17">
        <v>1.276</v>
      </c>
      <c r="I17">
        <v>88</v>
      </c>
    </row>
    <row r="18" spans="1:9">
      <c r="A18" t="s">
        <v>4008</v>
      </c>
      <c r="B18" t="s">
        <v>394</v>
      </c>
      <c r="C18">
        <v>0</v>
      </c>
      <c r="E18">
        <v>38088.192000000003</v>
      </c>
      <c r="H18">
        <v>0</v>
      </c>
      <c r="I18">
        <v>97</v>
      </c>
    </row>
    <row r="19" spans="1:9">
      <c r="A19" t="s">
        <v>4008</v>
      </c>
      <c r="B19" t="s">
        <v>394</v>
      </c>
      <c r="C19">
        <v>1</v>
      </c>
      <c r="E19">
        <v>40838.874000000003</v>
      </c>
      <c r="H19">
        <v>0.76800000000000002</v>
      </c>
      <c r="I19">
        <v>44</v>
      </c>
    </row>
    <row r="20" spans="1:9">
      <c r="A20" t="s">
        <v>4008</v>
      </c>
      <c r="B20" t="s">
        <v>390</v>
      </c>
      <c r="C20">
        <v>2</v>
      </c>
      <c r="E20">
        <v>38811.896000000001</v>
      </c>
      <c r="H20">
        <v>0.752</v>
      </c>
      <c r="I20">
        <v>89</v>
      </c>
    </row>
    <row r="21" spans="1:9">
      <c r="A21" t="s">
        <v>4008</v>
      </c>
      <c r="B21" t="s">
        <v>390</v>
      </c>
      <c r="C21">
        <v>3</v>
      </c>
      <c r="E21">
        <v>39858.360999999997</v>
      </c>
      <c r="H21">
        <v>1.081</v>
      </c>
      <c r="I21">
        <v>96</v>
      </c>
    </row>
    <row r="22" spans="1:9">
      <c r="A22" t="s">
        <v>4006</v>
      </c>
      <c r="B22" t="s">
        <v>259</v>
      </c>
      <c r="C22">
        <v>2</v>
      </c>
      <c r="E22">
        <v>39524.067000000003</v>
      </c>
      <c r="I22">
        <v>67</v>
      </c>
    </row>
    <row r="23" spans="1:9">
      <c r="A23" t="s">
        <v>4008</v>
      </c>
      <c r="B23" t="s">
        <v>388</v>
      </c>
      <c r="C23">
        <v>1</v>
      </c>
      <c r="E23">
        <v>40368.796000000002</v>
      </c>
      <c r="H23">
        <v>0.83099999999999996</v>
      </c>
      <c r="I23">
        <v>63</v>
      </c>
    </row>
    <row r="24" spans="1:9">
      <c r="A24" t="s">
        <v>4008</v>
      </c>
      <c r="B24" t="s">
        <v>388</v>
      </c>
      <c r="C24">
        <v>2</v>
      </c>
      <c r="E24">
        <v>40771.51</v>
      </c>
      <c r="H24">
        <v>1.1140000000000001</v>
      </c>
      <c r="I24">
        <v>91</v>
      </c>
    </row>
    <row r="25" spans="1:9">
      <c r="A25" t="s">
        <v>4006</v>
      </c>
      <c r="B25" t="s">
        <v>269</v>
      </c>
      <c r="C25">
        <v>4</v>
      </c>
      <c r="E25">
        <v>42232.192000000003</v>
      </c>
      <c r="I25">
        <v>99</v>
      </c>
    </row>
    <row r="26" spans="1:9">
      <c r="A26" t="s">
        <v>4009</v>
      </c>
      <c r="B26" t="s">
        <v>319</v>
      </c>
      <c r="C26">
        <v>3</v>
      </c>
      <c r="E26">
        <v>48804.413</v>
      </c>
      <c r="I26">
        <v>100</v>
      </c>
    </row>
    <row r="27" spans="1:9">
      <c r="A27" t="s">
        <v>4009</v>
      </c>
      <c r="B27" t="s">
        <v>319</v>
      </c>
      <c r="C27">
        <v>2</v>
      </c>
      <c r="E27">
        <v>49019.733</v>
      </c>
      <c r="I27">
        <v>100</v>
      </c>
    </row>
    <row r="28" spans="1:9">
      <c r="A28" t="s">
        <v>4010</v>
      </c>
      <c r="B28" t="s">
        <v>271</v>
      </c>
      <c r="C28">
        <v>4</v>
      </c>
      <c r="E28">
        <v>48914.49</v>
      </c>
      <c r="I28">
        <v>88</v>
      </c>
    </row>
    <row r="29" spans="1:9">
      <c r="A29" t="s">
        <v>4010</v>
      </c>
      <c r="B29" t="s">
        <v>271</v>
      </c>
      <c r="C29">
        <v>3</v>
      </c>
      <c r="E29">
        <v>50910.593999999997</v>
      </c>
      <c r="H29" t="s">
        <v>4011</v>
      </c>
      <c r="I29">
        <v>81</v>
      </c>
    </row>
    <row r="30" spans="1:9">
      <c r="A30" t="s">
        <v>4010</v>
      </c>
      <c r="B30" t="s">
        <v>271</v>
      </c>
      <c r="C30">
        <v>2</v>
      </c>
      <c r="E30">
        <v>52678.868999999999</v>
      </c>
      <c r="I30">
        <v>81</v>
      </c>
    </row>
    <row r="31" spans="1:9">
      <c r="A31" t="s">
        <v>4010</v>
      </c>
      <c r="B31" t="s">
        <v>271</v>
      </c>
      <c r="C31">
        <v>1</v>
      </c>
      <c r="E31">
        <v>53924.061999999998</v>
      </c>
      <c r="I31">
        <v>85</v>
      </c>
    </row>
    <row r="32" spans="1:9">
      <c r="A32" t="s">
        <v>4012</v>
      </c>
      <c r="B32" t="s">
        <v>337</v>
      </c>
      <c r="C32">
        <v>1</v>
      </c>
      <c r="E32">
        <v>52336.491999999998</v>
      </c>
      <c r="I32">
        <v>100</v>
      </c>
    </row>
    <row r="33" spans="1:9">
      <c r="A33" t="s">
        <v>4012</v>
      </c>
      <c r="B33" t="s">
        <v>337</v>
      </c>
      <c r="C33">
        <v>2</v>
      </c>
      <c r="E33">
        <v>52487.92</v>
      </c>
      <c r="I33">
        <v>100</v>
      </c>
    </row>
    <row r="34" spans="1:9">
      <c r="A34" t="s">
        <v>4010</v>
      </c>
      <c r="B34" t="s">
        <v>272</v>
      </c>
      <c r="C34">
        <v>4</v>
      </c>
      <c r="E34">
        <v>52457.548000000003</v>
      </c>
      <c r="I34">
        <v>57</v>
      </c>
    </row>
    <row r="35" spans="1:9">
      <c r="A35" t="s">
        <v>4010</v>
      </c>
      <c r="B35" t="s">
        <v>272</v>
      </c>
      <c r="C35">
        <v>5</v>
      </c>
      <c r="E35">
        <v>53058.601999999999</v>
      </c>
      <c r="I35">
        <v>58</v>
      </c>
    </row>
    <row r="36" spans="1:9">
      <c r="A36" t="s">
        <v>4010</v>
      </c>
      <c r="B36" t="s">
        <v>272</v>
      </c>
      <c r="C36">
        <v>3</v>
      </c>
      <c r="E36">
        <v>53761.695</v>
      </c>
      <c r="I36">
        <v>64</v>
      </c>
    </row>
    <row r="37" spans="1:9">
      <c r="A37" t="s">
        <v>4010</v>
      </c>
      <c r="B37" t="s">
        <v>272</v>
      </c>
      <c r="C37">
        <v>2</v>
      </c>
      <c r="E37">
        <v>54795.137999999999</v>
      </c>
      <c r="I37">
        <v>79</v>
      </c>
    </row>
    <row r="38" spans="1:9">
      <c r="A38" t="s">
        <v>4013</v>
      </c>
      <c r="B38" t="s">
        <v>388</v>
      </c>
      <c r="C38">
        <v>2</v>
      </c>
      <c r="E38">
        <v>54174.894</v>
      </c>
      <c r="I38">
        <v>92</v>
      </c>
    </row>
    <row r="39" spans="1:9">
      <c r="A39" t="s">
        <v>4013</v>
      </c>
      <c r="B39" t="s">
        <v>388</v>
      </c>
      <c r="C39">
        <v>1</v>
      </c>
      <c r="E39">
        <v>54825.728999999999</v>
      </c>
      <c r="I39">
        <v>97</v>
      </c>
    </row>
    <row r="40" spans="1:9">
      <c r="A40" t="s">
        <v>4010</v>
      </c>
      <c r="B40" t="s">
        <v>276</v>
      </c>
      <c r="C40">
        <v>4</v>
      </c>
      <c r="E40">
        <v>54335.618000000002</v>
      </c>
      <c r="I40">
        <v>40</v>
      </c>
    </row>
    <row r="41" spans="1:9">
      <c r="A41" t="s">
        <v>4010</v>
      </c>
      <c r="B41" t="s">
        <v>276</v>
      </c>
      <c r="C41">
        <v>3</v>
      </c>
      <c r="E41">
        <v>55633.529000000002</v>
      </c>
      <c r="H41" t="s">
        <v>4014</v>
      </c>
      <c r="I41">
        <v>53</v>
      </c>
    </row>
    <row r="42" spans="1:9">
      <c r="A42" t="s">
        <v>4010</v>
      </c>
      <c r="B42" t="s">
        <v>276</v>
      </c>
      <c r="C42">
        <v>2</v>
      </c>
      <c r="E42">
        <v>56335.347999999998</v>
      </c>
      <c r="I42">
        <v>72</v>
      </c>
    </row>
    <row r="43" spans="1:9">
      <c r="A43" t="s">
        <v>4010</v>
      </c>
      <c r="B43" t="s">
        <v>276</v>
      </c>
      <c r="C43">
        <v>1</v>
      </c>
      <c r="E43">
        <v>56568.868999999999</v>
      </c>
      <c r="I43">
        <v>84</v>
      </c>
    </row>
    <row r="44" spans="1:9">
      <c r="A44" t="s">
        <v>4013</v>
      </c>
      <c r="B44" t="s">
        <v>389</v>
      </c>
      <c r="C44">
        <v>3</v>
      </c>
      <c r="E44">
        <v>54409.622000000003</v>
      </c>
      <c r="I44">
        <v>79</v>
      </c>
    </row>
    <row r="45" spans="1:9">
      <c r="A45" t="s">
        <v>4013</v>
      </c>
      <c r="B45" t="s">
        <v>389</v>
      </c>
      <c r="C45">
        <v>4</v>
      </c>
      <c r="E45">
        <v>54599.752</v>
      </c>
      <c r="I45">
        <v>76</v>
      </c>
    </row>
    <row r="46" spans="1:9">
      <c r="A46" t="s">
        <v>4015</v>
      </c>
      <c r="B46" t="s">
        <v>358</v>
      </c>
      <c r="C46">
        <v>1</v>
      </c>
      <c r="E46">
        <v>54574.281999999999</v>
      </c>
      <c r="I46">
        <v>100</v>
      </c>
    </row>
    <row r="47" spans="1:9">
      <c r="A47" t="s">
        <v>4015</v>
      </c>
      <c r="B47" t="s">
        <v>358</v>
      </c>
      <c r="C47">
        <v>0</v>
      </c>
      <c r="E47">
        <v>55373.165000000001</v>
      </c>
      <c r="I47">
        <v>98</v>
      </c>
    </row>
    <row r="48" spans="1:9">
      <c r="A48" t="s">
        <v>4013</v>
      </c>
      <c r="B48" t="s">
        <v>390</v>
      </c>
      <c r="C48">
        <v>3</v>
      </c>
      <c r="E48">
        <v>54672.735999999997</v>
      </c>
      <c r="I48">
        <v>78</v>
      </c>
    </row>
    <row r="49" spans="1:9">
      <c r="A49" t="s">
        <v>4013</v>
      </c>
      <c r="B49" t="s">
        <v>390</v>
      </c>
      <c r="C49">
        <v>2</v>
      </c>
      <c r="E49">
        <v>54673.284</v>
      </c>
      <c r="I49">
        <v>84</v>
      </c>
    </row>
    <row r="50" spans="1:9">
      <c r="A50" t="s">
        <v>4015</v>
      </c>
      <c r="B50" t="s">
        <v>361</v>
      </c>
      <c r="C50">
        <v>5</v>
      </c>
      <c r="E50">
        <v>54806.201999999997</v>
      </c>
      <c r="I50">
        <v>100</v>
      </c>
    </row>
    <row r="51" spans="1:9">
      <c r="A51" t="s">
        <v>4015</v>
      </c>
      <c r="B51" t="s">
        <v>361</v>
      </c>
      <c r="C51">
        <v>4</v>
      </c>
      <c r="E51">
        <v>54811.482000000004</v>
      </c>
      <c r="I51">
        <v>100</v>
      </c>
    </row>
    <row r="52" spans="1:9">
      <c r="A52" t="s">
        <v>4015</v>
      </c>
      <c r="B52" t="s">
        <v>337</v>
      </c>
      <c r="C52">
        <v>2</v>
      </c>
      <c r="E52">
        <v>54820.803</v>
      </c>
      <c r="I52">
        <v>94</v>
      </c>
    </row>
    <row r="53" spans="1:9">
      <c r="A53" t="s">
        <v>4015</v>
      </c>
      <c r="B53" t="s">
        <v>337</v>
      </c>
      <c r="C53">
        <v>1</v>
      </c>
      <c r="E53">
        <v>54823.050999999999</v>
      </c>
      <c r="I53">
        <v>100</v>
      </c>
    </row>
    <row r="54" spans="1:9">
      <c r="A54" t="s">
        <v>4015</v>
      </c>
      <c r="B54" t="s">
        <v>319</v>
      </c>
      <c r="C54">
        <v>3</v>
      </c>
      <c r="E54">
        <v>54947.87</v>
      </c>
      <c r="I54">
        <v>99</v>
      </c>
    </row>
    <row r="55" spans="1:9">
      <c r="A55" t="s">
        <v>4015</v>
      </c>
      <c r="B55" t="s">
        <v>319</v>
      </c>
      <c r="C55">
        <v>2</v>
      </c>
      <c r="E55">
        <v>54998.663999999997</v>
      </c>
      <c r="I55">
        <v>94</v>
      </c>
    </row>
    <row r="56" spans="1:9">
      <c r="A56" t="s">
        <v>4015</v>
      </c>
      <c r="B56" t="s">
        <v>363</v>
      </c>
      <c r="C56">
        <v>3</v>
      </c>
      <c r="E56">
        <v>55012.364999999998</v>
      </c>
      <c r="I56">
        <v>99</v>
      </c>
    </row>
    <row r="57" spans="1:9">
      <c r="A57" t="s">
        <v>4015</v>
      </c>
      <c r="B57" t="s">
        <v>363</v>
      </c>
      <c r="C57">
        <v>4</v>
      </c>
      <c r="E57">
        <v>55025.334999999999</v>
      </c>
      <c r="I57">
        <v>100</v>
      </c>
    </row>
    <row r="58" spans="1:9">
      <c r="A58" t="s">
        <v>4016</v>
      </c>
      <c r="B58" t="s">
        <v>293</v>
      </c>
      <c r="C58">
        <v>4</v>
      </c>
      <c r="E58">
        <v>56544.527999999998</v>
      </c>
      <c r="H58">
        <v>1.06</v>
      </c>
      <c r="I58">
        <v>26</v>
      </c>
    </row>
    <row r="59" spans="1:9">
      <c r="A59" t="s">
        <v>4016</v>
      </c>
      <c r="B59" t="s">
        <v>293</v>
      </c>
      <c r="C59">
        <v>3</v>
      </c>
      <c r="E59">
        <v>58389.250999999997</v>
      </c>
      <c r="I59">
        <v>23</v>
      </c>
    </row>
    <row r="60" spans="1:9">
      <c r="A60" t="s">
        <v>4016</v>
      </c>
      <c r="B60" t="s">
        <v>287</v>
      </c>
      <c r="C60">
        <v>3</v>
      </c>
      <c r="E60">
        <v>57254.978999999999</v>
      </c>
      <c r="I60">
        <v>30</v>
      </c>
    </row>
    <row r="61" spans="1:9">
      <c r="A61" t="s">
        <v>4016</v>
      </c>
      <c r="B61" t="s">
        <v>287</v>
      </c>
      <c r="C61">
        <v>2</v>
      </c>
      <c r="E61">
        <v>57564.98</v>
      </c>
      <c r="I61">
        <v>22</v>
      </c>
    </row>
    <row r="62" spans="1:9">
      <c r="A62" t="s">
        <v>4016</v>
      </c>
      <c r="B62" t="s">
        <v>287</v>
      </c>
      <c r="C62">
        <v>1</v>
      </c>
      <c r="E62">
        <v>59587.834999999999</v>
      </c>
      <c r="I62">
        <v>29</v>
      </c>
    </row>
    <row r="63" spans="1:9">
      <c r="A63" t="s">
        <v>4017</v>
      </c>
      <c r="B63" t="s">
        <v>390</v>
      </c>
      <c r="C63">
        <v>2</v>
      </c>
      <c r="E63">
        <v>57925.875</v>
      </c>
      <c r="I63">
        <v>59</v>
      </c>
    </row>
    <row r="64" spans="1:9">
      <c r="A64" t="s">
        <v>4017</v>
      </c>
      <c r="B64" t="s">
        <v>390</v>
      </c>
      <c r="C64">
        <v>3</v>
      </c>
      <c r="E64">
        <v>58108.55</v>
      </c>
      <c r="I64">
        <v>77</v>
      </c>
    </row>
    <row r="65" spans="1:9">
      <c r="A65" t="s">
        <v>4017</v>
      </c>
      <c r="B65" t="s">
        <v>388</v>
      </c>
      <c r="C65">
        <v>1</v>
      </c>
      <c r="E65">
        <v>58017.243999999999</v>
      </c>
      <c r="I65">
        <v>69</v>
      </c>
    </row>
    <row r="66" spans="1:9">
      <c r="A66" t="s">
        <v>4017</v>
      </c>
      <c r="B66" t="s">
        <v>388</v>
      </c>
      <c r="C66">
        <v>2</v>
      </c>
      <c r="E66">
        <v>58415.540999999997</v>
      </c>
      <c r="H66" t="s">
        <v>37</v>
      </c>
      <c r="I66">
        <v>63</v>
      </c>
    </row>
    <row r="67" spans="1:9">
      <c r="A67" t="s">
        <v>4018</v>
      </c>
      <c r="B67" t="s">
        <v>319</v>
      </c>
      <c r="C67">
        <v>3</v>
      </c>
      <c r="E67">
        <v>58064.466999999997</v>
      </c>
      <c r="I67">
        <v>100</v>
      </c>
    </row>
    <row r="68" spans="1:9">
      <c r="A68" t="s">
        <v>4018</v>
      </c>
      <c r="B68" t="s">
        <v>319</v>
      </c>
      <c r="C68">
        <v>2</v>
      </c>
      <c r="E68">
        <v>58138.648000000001</v>
      </c>
      <c r="I68">
        <v>100</v>
      </c>
    </row>
    <row r="69" spans="1:9">
      <c r="A69" t="s">
        <v>4017</v>
      </c>
      <c r="B69" t="s">
        <v>394</v>
      </c>
      <c r="C69">
        <v>1</v>
      </c>
      <c r="E69">
        <v>58102.934999999998</v>
      </c>
      <c r="I69">
        <v>82</v>
      </c>
    </row>
    <row r="70" spans="1:9">
      <c r="A70" t="s">
        <v>4019</v>
      </c>
      <c r="B70" t="s">
        <v>358</v>
      </c>
      <c r="C70">
        <v>1</v>
      </c>
      <c r="E70">
        <v>58195.423000000003</v>
      </c>
      <c r="I70">
        <v>100</v>
      </c>
    </row>
    <row r="71" spans="1:9">
      <c r="A71" t="s">
        <v>4019</v>
      </c>
      <c r="B71" t="s">
        <v>358</v>
      </c>
      <c r="C71">
        <v>0</v>
      </c>
      <c r="E71">
        <v>58681.5</v>
      </c>
      <c r="I71">
        <v>98</v>
      </c>
    </row>
    <row r="72" spans="1:9">
      <c r="A72" t="s">
        <v>4016</v>
      </c>
      <c r="B72" t="s">
        <v>283</v>
      </c>
      <c r="C72">
        <v>4</v>
      </c>
      <c r="E72">
        <v>58316.644999999997</v>
      </c>
      <c r="H72">
        <v>1.25</v>
      </c>
      <c r="I72">
        <v>43</v>
      </c>
    </row>
    <row r="73" spans="1:9">
      <c r="A73" t="s">
        <v>4016</v>
      </c>
      <c r="B73" t="s">
        <v>283</v>
      </c>
      <c r="C73">
        <v>3</v>
      </c>
      <c r="E73">
        <v>59142.358999999997</v>
      </c>
      <c r="H73" t="s">
        <v>1544</v>
      </c>
      <c r="I73">
        <v>15</v>
      </c>
    </row>
    <row r="74" spans="1:9">
      <c r="A74" t="s">
        <v>4016</v>
      </c>
      <c r="B74" t="s">
        <v>283</v>
      </c>
      <c r="C74">
        <v>2</v>
      </c>
      <c r="E74">
        <v>60653.322999999997</v>
      </c>
      <c r="I74">
        <v>29</v>
      </c>
    </row>
    <row r="75" spans="1:9">
      <c r="A75" t="s">
        <v>4019</v>
      </c>
      <c r="B75" t="s">
        <v>363</v>
      </c>
      <c r="C75">
        <v>3</v>
      </c>
      <c r="E75">
        <v>58349.125</v>
      </c>
      <c r="I75">
        <v>100</v>
      </c>
    </row>
    <row r="76" spans="1:9">
      <c r="A76" t="s">
        <v>4019</v>
      </c>
      <c r="B76" t="s">
        <v>363</v>
      </c>
      <c r="C76">
        <v>4</v>
      </c>
      <c r="E76">
        <v>58388.133000000002</v>
      </c>
      <c r="I76">
        <v>100</v>
      </c>
    </row>
    <row r="77" spans="1:9">
      <c r="A77" t="s">
        <v>4019</v>
      </c>
      <c r="B77" t="s">
        <v>337</v>
      </c>
      <c r="C77">
        <v>1</v>
      </c>
      <c r="E77">
        <v>58408.296000000002</v>
      </c>
      <c r="I77">
        <v>100</v>
      </c>
    </row>
    <row r="78" spans="1:9">
      <c r="A78" t="s">
        <v>4019</v>
      </c>
      <c r="B78" t="s">
        <v>337</v>
      </c>
      <c r="C78">
        <v>2</v>
      </c>
      <c r="E78">
        <v>58555.957000000002</v>
      </c>
      <c r="I78">
        <v>98</v>
      </c>
    </row>
    <row r="79" spans="1:9">
      <c r="A79" t="s">
        <v>4019</v>
      </c>
      <c r="B79" t="s">
        <v>319</v>
      </c>
      <c r="C79">
        <v>2</v>
      </c>
      <c r="E79">
        <v>58448.705000000002</v>
      </c>
      <c r="I79">
        <v>98</v>
      </c>
    </row>
    <row r="80" spans="1:9">
      <c r="A80" t="s">
        <v>4019</v>
      </c>
      <c r="B80" t="s">
        <v>319</v>
      </c>
      <c r="C80">
        <v>3</v>
      </c>
      <c r="E80">
        <v>58561.866000000002</v>
      </c>
      <c r="I80">
        <v>100</v>
      </c>
    </row>
    <row r="81" spans="1:9">
      <c r="A81" t="s">
        <v>4020</v>
      </c>
      <c r="B81" t="s">
        <v>312</v>
      </c>
      <c r="C81">
        <v>2</v>
      </c>
      <c r="E81">
        <v>59731.205999999998</v>
      </c>
      <c r="I81">
        <v>60</v>
      </c>
    </row>
    <row r="82" spans="1:9">
      <c r="A82" t="s">
        <v>4020</v>
      </c>
      <c r="B82" t="s">
        <v>312</v>
      </c>
      <c r="C82">
        <v>3</v>
      </c>
      <c r="E82">
        <v>59864.639999999999</v>
      </c>
      <c r="I82">
        <v>72</v>
      </c>
    </row>
    <row r="83" spans="1:9">
      <c r="A83" t="s">
        <v>4020</v>
      </c>
      <c r="B83" t="s">
        <v>312</v>
      </c>
      <c r="C83">
        <v>1</v>
      </c>
      <c r="E83">
        <v>60729.678</v>
      </c>
      <c r="I83">
        <v>71</v>
      </c>
    </row>
    <row r="84" spans="1:9">
      <c r="A84" t="s">
        <v>4021</v>
      </c>
      <c r="B84" t="s">
        <v>388</v>
      </c>
      <c r="C84">
        <v>2</v>
      </c>
      <c r="E84">
        <v>60069.968999999997</v>
      </c>
      <c r="I84">
        <v>80</v>
      </c>
    </row>
    <row r="85" spans="1:9">
      <c r="A85" t="s">
        <v>4021</v>
      </c>
      <c r="B85" t="s">
        <v>389</v>
      </c>
      <c r="C85">
        <v>4</v>
      </c>
      <c r="E85">
        <v>60220.150999999998</v>
      </c>
      <c r="I85">
        <v>96</v>
      </c>
    </row>
    <row r="86" spans="1:9">
      <c r="A86" t="s">
        <v>4021</v>
      </c>
      <c r="B86" t="s">
        <v>390</v>
      </c>
      <c r="C86">
        <v>2</v>
      </c>
      <c r="E86">
        <v>60224.777000000002</v>
      </c>
      <c r="I86">
        <v>80</v>
      </c>
    </row>
    <row r="87" spans="1:9">
      <c r="A87" t="s">
        <v>4021</v>
      </c>
      <c r="B87" t="s">
        <v>390</v>
      </c>
      <c r="C87">
        <v>3</v>
      </c>
      <c r="E87">
        <v>60310.87</v>
      </c>
      <c r="I87">
        <v>82</v>
      </c>
    </row>
    <row r="88" spans="1:9">
      <c r="A88" t="s">
        <v>4022</v>
      </c>
      <c r="B88" t="s">
        <v>358</v>
      </c>
      <c r="C88">
        <v>1</v>
      </c>
      <c r="E88">
        <v>60225.748</v>
      </c>
      <c r="I88">
        <v>100</v>
      </c>
    </row>
    <row r="89" spans="1:9">
      <c r="A89" t="s">
        <v>4022</v>
      </c>
      <c r="B89" t="s">
        <v>358</v>
      </c>
      <c r="C89">
        <v>0</v>
      </c>
      <c r="E89">
        <v>60664.540999999997</v>
      </c>
      <c r="I89">
        <v>99</v>
      </c>
    </row>
    <row r="90" spans="1:9">
      <c r="A90" t="s">
        <v>4023</v>
      </c>
      <c r="B90" t="s">
        <v>394</v>
      </c>
      <c r="C90">
        <v>1</v>
      </c>
      <c r="E90">
        <v>60290.542000000001</v>
      </c>
      <c r="I90">
        <v>100</v>
      </c>
    </row>
    <row r="91" spans="1:9">
      <c r="A91" t="s">
        <v>4023</v>
      </c>
      <c r="B91" t="s">
        <v>394</v>
      </c>
      <c r="C91">
        <v>0</v>
      </c>
      <c r="E91">
        <v>60292.163999999997</v>
      </c>
      <c r="I91">
        <v>100</v>
      </c>
    </row>
    <row r="92" spans="1:9">
      <c r="A92" t="s">
        <v>4023</v>
      </c>
      <c r="B92" t="s">
        <v>388</v>
      </c>
      <c r="C92">
        <v>2</v>
      </c>
      <c r="E92">
        <v>60311.595000000001</v>
      </c>
      <c r="I92">
        <v>100</v>
      </c>
    </row>
    <row r="93" spans="1:9">
      <c r="A93" t="s">
        <v>4023</v>
      </c>
      <c r="B93" t="s">
        <v>388</v>
      </c>
      <c r="C93">
        <v>1</v>
      </c>
      <c r="E93">
        <v>60313.250999999997</v>
      </c>
      <c r="I93">
        <v>100</v>
      </c>
    </row>
    <row r="94" spans="1:9">
      <c r="A94" t="s">
        <v>4022</v>
      </c>
      <c r="B94" t="s">
        <v>361</v>
      </c>
      <c r="C94">
        <v>5</v>
      </c>
      <c r="E94">
        <v>60316.671000000002</v>
      </c>
      <c r="I94">
        <v>100</v>
      </c>
    </row>
    <row r="95" spans="1:9">
      <c r="A95" t="s">
        <v>4022</v>
      </c>
      <c r="B95" t="s">
        <v>361</v>
      </c>
      <c r="C95">
        <v>4</v>
      </c>
      <c r="E95">
        <v>60318.455999999998</v>
      </c>
      <c r="I95">
        <v>99</v>
      </c>
    </row>
    <row r="96" spans="1:9">
      <c r="A96" t="s">
        <v>4023</v>
      </c>
      <c r="B96" t="s">
        <v>395</v>
      </c>
      <c r="C96">
        <v>5</v>
      </c>
      <c r="E96">
        <v>60317.067999999999</v>
      </c>
      <c r="I96">
        <v>100</v>
      </c>
    </row>
    <row r="97" spans="1:9">
      <c r="A97" t="s">
        <v>4023</v>
      </c>
      <c r="B97" t="s">
        <v>395</v>
      </c>
      <c r="C97">
        <v>6</v>
      </c>
      <c r="E97">
        <v>60317.125</v>
      </c>
      <c r="I97">
        <v>100</v>
      </c>
    </row>
    <row r="98" spans="1:9">
      <c r="A98" t="s">
        <v>4022</v>
      </c>
      <c r="B98" t="s">
        <v>337</v>
      </c>
      <c r="C98">
        <v>2</v>
      </c>
      <c r="E98">
        <v>60321.525000000001</v>
      </c>
      <c r="I98">
        <v>93</v>
      </c>
    </row>
    <row r="99" spans="1:9">
      <c r="A99" t="s">
        <v>4022</v>
      </c>
      <c r="B99" t="s">
        <v>337</v>
      </c>
      <c r="C99">
        <v>1</v>
      </c>
      <c r="E99">
        <v>60323.504000000001</v>
      </c>
      <c r="I99">
        <v>100</v>
      </c>
    </row>
    <row r="100" spans="1:9">
      <c r="A100" t="s">
        <v>4023</v>
      </c>
      <c r="B100" t="s">
        <v>390</v>
      </c>
      <c r="C100">
        <v>2</v>
      </c>
      <c r="E100">
        <v>60334.23</v>
      </c>
      <c r="I100">
        <v>100</v>
      </c>
    </row>
    <row r="101" spans="1:9">
      <c r="A101" t="s">
        <v>4023</v>
      </c>
      <c r="B101" t="s">
        <v>390</v>
      </c>
      <c r="C101">
        <v>3</v>
      </c>
      <c r="E101">
        <v>60338.527000000002</v>
      </c>
      <c r="I101">
        <v>100</v>
      </c>
    </row>
    <row r="102" spans="1:9">
      <c r="A102" t="s">
        <v>4023</v>
      </c>
      <c r="B102" t="s">
        <v>397</v>
      </c>
      <c r="C102">
        <v>4</v>
      </c>
      <c r="E102">
        <v>60347.535000000003</v>
      </c>
      <c r="I102">
        <v>100</v>
      </c>
    </row>
    <row r="103" spans="1:9">
      <c r="A103" t="s">
        <v>4023</v>
      </c>
      <c r="B103" t="s">
        <v>397</v>
      </c>
      <c r="C103">
        <v>5</v>
      </c>
      <c r="E103">
        <v>60350.341</v>
      </c>
      <c r="I103">
        <v>100</v>
      </c>
    </row>
    <row r="104" spans="1:9">
      <c r="A104" t="s">
        <v>4023</v>
      </c>
      <c r="B104" t="s">
        <v>389</v>
      </c>
      <c r="C104">
        <v>4</v>
      </c>
      <c r="E104">
        <v>60351.868999999999</v>
      </c>
      <c r="I104">
        <v>100</v>
      </c>
    </row>
    <row r="105" spans="1:9">
      <c r="A105" t="s">
        <v>4023</v>
      </c>
      <c r="B105" t="s">
        <v>389</v>
      </c>
      <c r="C105">
        <v>3</v>
      </c>
      <c r="E105">
        <v>60353.135000000002</v>
      </c>
      <c r="I105">
        <v>100</v>
      </c>
    </row>
    <row r="106" spans="1:9">
      <c r="A106" t="s">
        <v>4022</v>
      </c>
      <c r="B106" t="s">
        <v>319</v>
      </c>
      <c r="C106">
        <v>3</v>
      </c>
      <c r="E106">
        <v>60370.345000000001</v>
      </c>
      <c r="I106">
        <v>98</v>
      </c>
    </row>
    <row r="107" spans="1:9">
      <c r="A107" t="s">
        <v>4022</v>
      </c>
      <c r="B107" t="s">
        <v>319</v>
      </c>
      <c r="C107">
        <v>2</v>
      </c>
      <c r="E107">
        <v>60396.37</v>
      </c>
      <c r="I107">
        <v>93</v>
      </c>
    </row>
    <row r="108" spans="1:9">
      <c r="A108" t="s">
        <v>4022</v>
      </c>
      <c r="B108" t="s">
        <v>363</v>
      </c>
      <c r="C108">
        <v>3</v>
      </c>
      <c r="E108">
        <v>60397.758999999998</v>
      </c>
      <c r="I108">
        <v>98</v>
      </c>
    </row>
    <row r="109" spans="1:9">
      <c r="A109" t="s">
        <v>4022</v>
      </c>
      <c r="B109" t="s">
        <v>363</v>
      </c>
      <c r="C109">
        <v>4</v>
      </c>
      <c r="E109">
        <v>60403.631000000001</v>
      </c>
      <c r="I109">
        <v>99</v>
      </c>
    </row>
    <row r="110" spans="1:9">
      <c r="A110" t="s">
        <v>4016</v>
      </c>
      <c r="B110" t="s">
        <v>307</v>
      </c>
      <c r="C110">
        <v>4</v>
      </c>
      <c r="E110">
        <v>60722.917999999998</v>
      </c>
      <c r="H110" t="s">
        <v>4024</v>
      </c>
      <c r="I110">
        <v>51</v>
      </c>
    </row>
    <row r="111" spans="1:9">
      <c r="A111" t="s">
        <v>4025</v>
      </c>
      <c r="B111" t="s">
        <v>337</v>
      </c>
      <c r="C111">
        <v>1</v>
      </c>
      <c r="E111">
        <v>61603.205999999998</v>
      </c>
      <c r="I111">
        <v>100</v>
      </c>
    </row>
    <row r="112" spans="1:9">
      <c r="A112" t="s">
        <v>4025</v>
      </c>
      <c r="B112" t="s">
        <v>337</v>
      </c>
      <c r="C112">
        <v>2</v>
      </c>
      <c r="E112">
        <v>61638.915000000001</v>
      </c>
      <c r="I112">
        <v>100</v>
      </c>
    </row>
    <row r="113" spans="1:9">
      <c r="A113" t="s">
        <v>4026</v>
      </c>
      <c r="B113" t="s">
        <v>319</v>
      </c>
      <c r="C113">
        <v>3</v>
      </c>
      <c r="E113">
        <v>61736.983999999997</v>
      </c>
      <c r="I113">
        <v>100</v>
      </c>
    </row>
    <row r="114" spans="1:9">
      <c r="A114" t="s">
        <v>4026</v>
      </c>
      <c r="B114" t="s">
        <v>319</v>
      </c>
      <c r="C114">
        <v>2</v>
      </c>
      <c r="E114">
        <v>61782.987999999998</v>
      </c>
      <c r="I114">
        <v>100</v>
      </c>
    </row>
    <row r="115" spans="1:9">
      <c r="A115" t="s">
        <v>4016</v>
      </c>
      <c r="B115" t="s">
        <v>296</v>
      </c>
      <c r="C115">
        <v>3</v>
      </c>
      <c r="E115">
        <v>62316.411</v>
      </c>
      <c r="H115">
        <v>1.08</v>
      </c>
      <c r="I115">
        <v>52</v>
      </c>
    </row>
    <row r="116" spans="1:9">
      <c r="A116" t="s">
        <v>4016</v>
      </c>
      <c r="B116" t="s">
        <v>298</v>
      </c>
      <c r="C116">
        <v>2</v>
      </c>
      <c r="E116">
        <v>62526.383999999998</v>
      </c>
      <c r="I116">
        <v>60</v>
      </c>
    </row>
    <row r="117" spans="1:9">
      <c r="A117" t="s">
        <v>4027</v>
      </c>
      <c r="B117" t="s">
        <v>358</v>
      </c>
      <c r="C117">
        <v>1</v>
      </c>
      <c r="E117">
        <v>62776.165999999997</v>
      </c>
      <c r="I117">
        <v>100</v>
      </c>
    </row>
    <row r="118" spans="1:9">
      <c r="A118" t="s">
        <v>4027</v>
      </c>
      <c r="B118" t="s">
        <v>361</v>
      </c>
      <c r="C118">
        <v>5</v>
      </c>
      <c r="E118">
        <v>62825.504000000001</v>
      </c>
      <c r="I118">
        <v>100</v>
      </c>
    </row>
    <row r="119" spans="1:9">
      <c r="A119" t="s">
        <v>4027</v>
      </c>
      <c r="B119" t="s">
        <v>361</v>
      </c>
      <c r="C119">
        <v>4</v>
      </c>
      <c r="E119">
        <v>62826.125</v>
      </c>
      <c r="I119">
        <v>99</v>
      </c>
    </row>
    <row r="120" spans="1:9">
      <c r="A120" t="s">
        <v>4027</v>
      </c>
      <c r="B120" t="s">
        <v>337</v>
      </c>
      <c r="C120">
        <v>2</v>
      </c>
      <c r="E120">
        <v>62827.201999999997</v>
      </c>
      <c r="I120">
        <v>92</v>
      </c>
    </row>
    <row r="121" spans="1:9">
      <c r="A121" t="s">
        <v>4027</v>
      </c>
      <c r="B121" t="s">
        <v>337</v>
      </c>
      <c r="C121">
        <v>1</v>
      </c>
      <c r="E121">
        <v>62829.023000000001</v>
      </c>
      <c r="I121">
        <v>100</v>
      </c>
    </row>
    <row r="122" spans="1:9">
      <c r="A122" t="s">
        <v>4027</v>
      </c>
      <c r="B122" t="s">
        <v>319</v>
      </c>
      <c r="C122">
        <v>3</v>
      </c>
      <c r="E122">
        <v>62851.264000000003</v>
      </c>
      <c r="I122">
        <v>97</v>
      </c>
    </row>
    <row r="123" spans="1:9">
      <c r="A123" t="s">
        <v>4027</v>
      </c>
      <c r="B123" t="s">
        <v>319</v>
      </c>
      <c r="C123">
        <v>2</v>
      </c>
      <c r="E123">
        <v>62865.19</v>
      </c>
      <c r="I123">
        <v>92</v>
      </c>
    </row>
    <row r="124" spans="1:9">
      <c r="A124" t="s">
        <v>4027</v>
      </c>
      <c r="B124" t="s">
        <v>363</v>
      </c>
      <c r="C124">
        <v>3</v>
      </c>
      <c r="E124">
        <v>62864.97</v>
      </c>
      <c r="I124">
        <v>97</v>
      </c>
    </row>
    <row r="125" spans="1:9">
      <c r="A125" t="s">
        <v>4027</v>
      </c>
      <c r="B125" t="s">
        <v>363</v>
      </c>
      <c r="C125">
        <v>4</v>
      </c>
      <c r="E125">
        <v>62868.267999999996</v>
      </c>
      <c r="I125">
        <v>99</v>
      </c>
    </row>
    <row r="126" spans="1:9">
      <c r="A126" t="s">
        <v>4020</v>
      </c>
      <c r="B126" t="s">
        <v>271</v>
      </c>
      <c r="C126">
        <v>4</v>
      </c>
      <c r="E126">
        <v>63293.712</v>
      </c>
      <c r="I126">
        <v>67</v>
      </c>
    </row>
    <row r="127" spans="1:9">
      <c r="A127" t="s">
        <v>4020</v>
      </c>
      <c r="B127" t="s">
        <v>271</v>
      </c>
      <c r="C127">
        <v>3</v>
      </c>
      <c r="E127">
        <v>63476.745999999999</v>
      </c>
      <c r="I127">
        <v>41</v>
      </c>
    </row>
    <row r="128" spans="1:9">
      <c r="A128" t="s">
        <v>4028</v>
      </c>
      <c r="B128" t="s">
        <v>319</v>
      </c>
      <c r="C128">
        <v>3</v>
      </c>
      <c r="E128">
        <v>63571.192000000003</v>
      </c>
      <c r="I128">
        <v>100</v>
      </c>
    </row>
    <row r="129" spans="1:9">
      <c r="A129" t="s">
        <v>4029</v>
      </c>
      <c r="B129" t="s">
        <v>358</v>
      </c>
      <c r="C129">
        <v>1</v>
      </c>
      <c r="E129">
        <v>63792.447</v>
      </c>
      <c r="I129">
        <v>100</v>
      </c>
    </row>
    <row r="130" spans="1:9">
      <c r="A130" t="s">
        <v>4030</v>
      </c>
      <c r="B130" t="s">
        <v>390</v>
      </c>
      <c r="C130">
        <v>3</v>
      </c>
      <c r="E130">
        <v>63838.569000000003</v>
      </c>
      <c r="I130">
        <v>91</v>
      </c>
    </row>
    <row r="131" spans="1:9">
      <c r="A131" t="s">
        <v>4031</v>
      </c>
      <c r="B131" t="s">
        <v>388</v>
      </c>
      <c r="C131">
        <v>2</v>
      </c>
      <c r="E131">
        <v>63844.684000000001</v>
      </c>
      <c r="I131">
        <v>100</v>
      </c>
    </row>
    <row r="132" spans="1:9">
      <c r="A132" t="s">
        <v>4031</v>
      </c>
      <c r="B132" t="s">
        <v>388</v>
      </c>
      <c r="C132">
        <v>1</v>
      </c>
      <c r="E132">
        <v>63848.267</v>
      </c>
      <c r="I132">
        <v>100</v>
      </c>
    </row>
    <row r="133" spans="1:9">
      <c r="A133" t="s">
        <v>4029</v>
      </c>
      <c r="B133" t="s">
        <v>363</v>
      </c>
      <c r="C133">
        <v>3</v>
      </c>
      <c r="E133">
        <v>63854.446000000004</v>
      </c>
      <c r="I133">
        <v>100</v>
      </c>
    </row>
    <row r="134" spans="1:9">
      <c r="A134" t="s">
        <v>4029</v>
      </c>
      <c r="B134" t="s">
        <v>363</v>
      </c>
      <c r="C134">
        <v>4</v>
      </c>
      <c r="E134">
        <v>63873.332000000002</v>
      </c>
      <c r="I134">
        <v>100</v>
      </c>
    </row>
    <row r="135" spans="1:9">
      <c r="A135" t="s">
        <v>4031</v>
      </c>
      <c r="B135" t="s">
        <v>397</v>
      </c>
      <c r="C135">
        <v>5</v>
      </c>
      <c r="E135">
        <v>63860.646000000001</v>
      </c>
      <c r="I135">
        <v>100</v>
      </c>
    </row>
    <row r="136" spans="1:9">
      <c r="A136" t="s">
        <v>4031</v>
      </c>
      <c r="B136" t="s">
        <v>397</v>
      </c>
      <c r="C136">
        <v>4</v>
      </c>
      <c r="E136">
        <v>63861.122000000003</v>
      </c>
      <c r="I136">
        <v>100</v>
      </c>
    </row>
    <row r="137" spans="1:9">
      <c r="A137" t="s">
        <v>4029</v>
      </c>
      <c r="B137" t="s">
        <v>337</v>
      </c>
      <c r="C137">
        <v>1</v>
      </c>
      <c r="E137">
        <v>63877.709000000003</v>
      </c>
      <c r="I137">
        <v>100</v>
      </c>
    </row>
    <row r="138" spans="1:9">
      <c r="A138" t="s">
        <v>4029</v>
      </c>
      <c r="B138" t="s">
        <v>337</v>
      </c>
      <c r="C138">
        <v>2</v>
      </c>
      <c r="E138">
        <v>63896.156999999999</v>
      </c>
      <c r="I138">
        <v>98</v>
      </c>
    </row>
    <row r="139" spans="1:9">
      <c r="A139" t="s">
        <v>4031</v>
      </c>
      <c r="B139" t="s">
        <v>390</v>
      </c>
      <c r="C139">
        <v>3</v>
      </c>
      <c r="E139">
        <v>63878.966</v>
      </c>
      <c r="I139">
        <v>100</v>
      </c>
    </row>
    <row r="140" spans="1:9">
      <c r="A140" t="s">
        <v>4031</v>
      </c>
      <c r="B140" t="s">
        <v>390</v>
      </c>
      <c r="C140">
        <v>2</v>
      </c>
      <c r="E140">
        <v>63882.822</v>
      </c>
      <c r="I140">
        <v>100</v>
      </c>
    </row>
    <row r="141" spans="1:9">
      <c r="A141" t="s">
        <v>4031</v>
      </c>
      <c r="B141" t="s">
        <v>389</v>
      </c>
      <c r="C141">
        <v>4</v>
      </c>
      <c r="E141">
        <v>63894.123</v>
      </c>
      <c r="I141">
        <v>100</v>
      </c>
    </row>
    <row r="142" spans="1:9">
      <c r="A142" t="s">
        <v>4031</v>
      </c>
      <c r="B142" t="s">
        <v>389</v>
      </c>
      <c r="C142">
        <v>3</v>
      </c>
      <c r="E142">
        <v>63894.995999999999</v>
      </c>
      <c r="I142">
        <v>100</v>
      </c>
    </row>
    <row r="143" spans="1:9">
      <c r="A143" t="s">
        <v>4029</v>
      </c>
      <c r="B143" t="s">
        <v>319</v>
      </c>
      <c r="C143">
        <v>2</v>
      </c>
      <c r="E143">
        <v>63937.125999999997</v>
      </c>
      <c r="I143">
        <v>98</v>
      </c>
    </row>
    <row r="144" spans="1:9">
      <c r="A144" t="s">
        <v>4029</v>
      </c>
      <c r="B144" t="s">
        <v>319</v>
      </c>
      <c r="C144">
        <v>3</v>
      </c>
      <c r="E144">
        <v>63940.035000000003</v>
      </c>
      <c r="I144">
        <v>100</v>
      </c>
    </row>
    <row r="145" spans="1:10">
      <c r="A145" t="s">
        <v>4032</v>
      </c>
      <c r="B145" t="s">
        <v>202</v>
      </c>
      <c r="C145" t="s">
        <v>203</v>
      </c>
      <c r="E145">
        <v>67241.14</v>
      </c>
      <c r="G145">
        <v>0.08</v>
      </c>
      <c r="I145" t="s">
        <v>503</v>
      </c>
      <c r="J145" t="s">
        <v>4033</v>
      </c>
    </row>
    <row r="146" spans="1:10">
      <c r="A146" t="s">
        <v>4034</v>
      </c>
      <c r="B146" t="s">
        <v>202</v>
      </c>
      <c r="C146" t="s">
        <v>203</v>
      </c>
      <c r="E146">
        <v>70780.38</v>
      </c>
      <c r="G146">
        <v>0.08</v>
      </c>
      <c r="I146" t="s">
        <v>503</v>
      </c>
      <c r="J146" t="s">
        <v>4033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7DE0-5332-47F9-9F75-725FFC79248B}">
  <dimension ref="A1:H108"/>
  <sheetViews>
    <sheetView workbookViewId="0">
      <selection sqref="A1:H1048576"/>
    </sheetView>
  </sheetViews>
  <sheetFormatPr defaultRowHeight="15"/>
  <cols>
    <col min="1" max="1" width="16.42578125" bestFit="1" customWidth="1"/>
    <col min="2" max="2" width="5.5703125" bestFit="1" customWidth="1"/>
    <col min="3" max="3" width="8.28515625" bestFit="1" customWidth="1"/>
    <col min="4" max="4" width="6.28515625" bestFit="1" customWidth="1"/>
    <col min="5" max="5" width="12" bestFit="1" customWidth="1"/>
    <col min="6" max="6" width="6.140625" bestFit="1" customWidth="1"/>
    <col min="7" max="7" width="17.7109375" bestFit="1" customWidth="1"/>
    <col min="8" max="8" width="10.140625" bestFit="1" customWidth="1"/>
  </cols>
  <sheetData>
    <row r="1" spans="1:8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>
      <c r="A2" t="s">
        <v>4035</v>
      </c>
      <c r="B2" t="s">
        <v>206</v>
      </c>
      <c r="C2" s="2" t="s">
        <v>248</v>
      </c>
      <c r="E2">
        <v>0</v>
      </c>
      <c r="H2" t="s">
        <v>12</v>
      </c>
    </row>
    <row r="3" spans="1:8">
      <c r="A3" t="s">
        <v>4036</v>
      </c>
      <c r="B3" t="s">
        <v>211</v>
      </c>
      <c r="C3" s="2" t="s">
        <v>248</v>
      </c>
      <c r="E3">
        <v>29552.057410000001</v>
      </c>
      <c r="G3">
        <v>1.3999999999999999E-4</v>
      </c>
      <c r="H3" t="s">
        <v>4037</v>
      </c>
    </row>
    <row r="4" spans="1:8">
      <c r="A4" t="s">
        <v>4036</v>
      </c>
      <c r="B4" t="s">
        <v>211</v>
      </c>
      <c r="C4" s="2" t="s">
        <v>250</v>
      </c>
      <c r="E4">
        <v>30472.66516</v>
      </c>
      <c r="G4">
        <v>2.2000000000000001E-4</v>
      </c>
      <c r="H4" t="s">
        <v>4037</v>
      </c>
    </row>
    <row r="5" spans="1:8">
      <c r="A5" t="s">
        <v>4038</v>
      </c>
      <c r="B5" t="s">
        <v>209</v>
      </c>
      <c r="C5" s="2" t="s">
        <v>249</v>
      </c>
      <c r="E5">
        <v>30242.298349000001</v>
      </c>
      <c r="G5">
        <v>6.0000000000000002E-6</v>
      </c>
      <c r="H5" t="s">
        <v>4039</v>
      </c>
    </row>
    <row r="6" spans="1:8">
      <c r="A6" t="s">
        <v>4038</v>
      </c>
      <c r="B6" t="s">
        <v>209</v>
      </c>
      <c r="C6" s="2" t="s">
        <v>250</v>
      </c>
      <c r="E6">
        <v>34714.226430000002</v>
      </c>
      <c r="G6">
        <v>1E-4</v>
      </c>
      <c r="H6" t="s">
        <v>4037</v>
      </c>
    </row>
    <row r="7" spans="1:8">
      <c r="A7" t="s">
        <v>4040</v>
      </c>
      <c r="B7" t="s">
        <v>206</v>
      </c>
      <c r="C7" s="2" t="s">
        <v>248</v>
      </c>
      <c r="E7">
        <v>42556.146999999997</v>
      </c>
      <c r="G7">
        <v>1E-3</v>
      </c>
      <c r="H7" t="s">
        <v>4041</v>
      </c>
    </row>
    <row r="8" spans="1:8">
      <c r="A8" t="s">
        <v>4042</v>
      </c>
      <c r="B8" t="s">
        <v>211</v>
      </c>
      <c r="C8" s="2" t="s">
        <v>248</v>
      </c>
      <c r="E8">
        <v>48297.406000000003</v>
      </c>
      <c r="G8">
        <v>2E-3</v>
      </c>
      <c r="H8" t="s">
        <v>4041</v>
      </c>
    </row>
    <row r="9" spans="1:8">
      <c r="A9" t="s">
        <v>4042</v>
      </c>
      <c r="B9" t="s">
        <v>211</v>
      </c>
      <c r="C9" s="2" t="s">
        <v>250</v>
      </c>
      <c r="E9">
        <v>48500.8105</v>
      </c>
      <c r="G9">
        <v>4.0000000000000002E-4</v>
      </c>
      <c r="H9" t="s">
        <v>4039</v>
      </c>
    </row>
    <row r="10" spans="1:8">
      <c r="A10" t="s">
        <v>4043</v>
      </c>
      <c r="B10" t="s">
        <v>209</v>
      </c>
      <c r="C10" s="2" t="s">
        <v>250</v>
      </c>
      <c r="E10">
        <v>48743.968999999997</v>
      </c>
      <c r="G10">
        <v>2E-3</v>
      </c>
      <c r="H10" t="s">
        <v>4044</v>
      </c>
    </row>
    <row r="11" spans="1:8">
      <c r="A11" t="s">
        <v>4043</v>
      </c>
      <c r="B11" t="s">
        <v>209</v>
      </c>
      <c r="C11" s="2" t="s">
        <v>249</v>
      </c>
      <c r="E11">
        <v>48764.218999999997</v>
      </c>
      <c r="G11">
        <v>2E-3</v>
      </c>
      <c r="H11" t="s">
        <v>4044</v>
      </c>
    </row>
    <row r="12" spans="1:8">
      <c r="A12" t="s">
        <v>4045</v>
      </c>
      <c r="B12" t="s">
        <v>206</v>
      </c>
      <c r="C12" s="2" t="s">
        <v>248</v>
      </c>
      <c r="E12">
        <v>51886.964999999997</v>
      </c>
      <c r="G12">
        <v>1E-3</v>
      </c>
      <c r="H12" t="s">
        <v>4041</v>
      </c>
    </row>
    <row r="13" spans="1:8">
      <c r="A13" t="s">
        <v>4046</v>
      </c>
      <c r="B13" t="s">
        <v>211</v>
      </c>
      <c r="C13" s="2" t="s">
        <v>248</v>
      </c>
      <c r="E13">
        <v>54041.036999999997</v>
      </c>
      <c r="G13">
        <v>2E-3</v>
      </c>
      <c r="H13" t="s">
        <v>4041</v>
      </c>
    </row>
    <row r="14" spans="1:8">
      <c r="A14" t="s">
        <v>4046</v>
      </c>
      <c r="B14" t="s">
        <v>211</v>
      </c>
      <c r="C14" s="2" t="s">
        <v>250</v>
      </c>
      <c r="E14">
        <v>54121.108</v>
      </c>
      <c r="G14">
        <v>1E-3</v>
      </c>
      <c r="H14" t="s">
        <v>4041</v>
      </c>
    </row>
    <row r="15" spans="1:8">
      <c r="A15" t="s">
        <v>4047</v>
      </c>
      <c r="B15" t="s">
        <v>209</v>
      </c>
      <c r="C15" s="2" t="s">
        <v>250</v>
      </c>
      <c r="E15">
        <v>54203.118999999999</v>
      </c>
      <c r="G15">
        <v>2E-3</v>
      </c>
      <c r="H15" t="s">
        <v>4048</v>
      </c>
    </row>
    <row r="16" spans="1:8">
      <c r="A16" t="s">
        <v>4047</v>
      </c>
      <c r="B16" t="s">
        <v>209</v>
      </c>
      <c r="C16" s="2" t="s">
        <v>249</v>
      </c>
      <c r="E16">
        <v>54213.563999999998</v>
      </c>
      <c r="G16">
        <v>3.0000000000000001E-3</v>
      </c>
      <c r="H16" t="s">
        <v>4048</v>
      </c>
    </row>
    <row r="17" spans="1:8">
      <c r="A17" t="s">
        <v>4049</v>
      </c>
      <c r="B17" t="s">
        <v>219</v>
      </c>
      <c r="C17" s="2" t="s">
        <v>249</v>
      </c>
      <c r="E17">
        <v>54204.728999999999</v>
      </c>
      <c r="G17">
        <v>2E-3</v>
      </c>
      <c r="H17" t="s">
        <v>4041</v>
      </c>
    </row>
    <row r="18" spans="1:8">
      <c r="A18" t="s">
        <v>4049</v>
      </c>
      <c r="B18" t="s">
        <v>219</v>
      </c>
      <c r="C18" s="2" t="s">
        <v>251</v>
      </c>
      <c r="E18">
        <v>54204.745000000003</v>
      </c>
      <c r="G18">
        <v>3.0000000000000001E-3</v>
      </c>
      <c r="H18" t="s">
        <v>4041</v>
      </c>
    </row>
    <row r="19" spans="1:8">
      <c r="A19" t="s">
        <v>4050</v>
      </c>
      <c r="B19" t="s">
        <v>206</v>
      </c>
      <c r="C19" s="2" t="s">
        <v>248</v>
      </c>
      <c r="E19">
        <v>55581.245999999999</v>
      </c>
      <c r="G19">
        <v>3.0000000000000001E-3</v>
      </c>
      <c r="H19" t="s">
        <v>4048</v>
      </c>
    </row>
    <row r="20" spans="1:8">
      <c r="A20" t="s">
        <v>4051</v>
      </c>
      <c r="B20" t="s">
        <v>213</v>
      </c>
      <c r="C20" s="2" t="s">
        <v>249</v>
      </c>
      <c r="E20">
        <v>56223.489000000001</v>
      </c>
      <c r="G20">
        <v>4.0000000000000001E-3</v>
      </c>
      <c r="H20" t="s">
        <v>4044</v>
      </c>
    </row>
    <row r="21" spans="1:8">
      <c r="A21" t="s">
        <v>4051</v>
      </c>
      <c r="B21" t="s">
        <v>213</v>
      </c>
      <c r="C21" s="2" t="s">
        <v>250</v>
      </c>
      <c r="E21">
        <v>58504.586000000003</v>
      </c>
      <c r="G21">
        <v>5.0000000000000001E-3</v>
      </c>
      <c r="H21" t="s">
        <v>4044</v>
      </c>
    </row>
    <row r="22" spans="1:8">
      <c r="A22" t="s">
        <v>4051</v>
      </c>
      <c r="B22" t="s">
        <v>213</v>
      </c>
      <c r="C22" s="2" t="s">
        <v>248</v>
      </c>
      <c r="E22">
        <v>60537.45</v>
      </c>
      <c r="G22">
        <v>0.1</v>
      </c>
      <c r="H22" t="s">
        <v>4052</v>
      </c>
    </row>
    <row r="23" spans="1:8">
      <c r="A23" t="s">
        <v>4053</v>
      </c>
      <c r="B23" t="s">
        <v>211</v>
      </c>
      <c r="C23" s="2" t="s">
        <v>248</v>
      </c>
      <c r="E23">
        <v>56620.875999999997</v>
      </c>
      <c r="G23">
        <v>3.0000000000000001E-3</v>
      </c>
      <c r="H23" t="s">
        <v>4048</v>
      </c>
    </row>
    <row r="24" spans="1:8">
      <c r="A24" t="s">
        <v>4053</v>
      </c>
      <c r="B24" t="s">
        <v>211</v>
      </c>
      <c r="C24" s="2" t="s">
        <v>250</v>
      </c>
      <c r="E24">
        <v>56660.597000000002</v>
      </c>
      <c r="G24">
        <v>3.0000000000000001E-3</v>
      </c>
      <c r="H24" t="s">
        <v>4041</v>
      </c>
    </row>
    <row r="25" spans="1:8">
      <c r="A25" t="s">
        <v>4054</v>
      </c>
      <c r="B25" t="s">
        <v>219</v>
      </c>
      <c r="C25" s="2" t="s">
        <v>249</v>
      </c>
      <c r="E25">
        <v>56691.275000000001</v>
      </c>
      <c r="G25">
        <v>2E-3</v>
      </c>
      <c r="H25" t="s">
        <v>4041</v>
      </c>
    </row>
    <row r="26" spans="1:8">
      <c r="A26" t="s">
        <v>4054</v>
      </c>
      <c r="B26" t="s">
        <v>219</v>
      </c>
      <c r="C26" s="2" t="s">
        <v>251</v>
      </c>
      <c r="E26">
        <v>56691.396999999997</v>
      </c>
      <c r="G26">
        <v>2E-3</v>
      </c>
      <c r="H26" t="s">
        <v>4041</v>
      </c>
    </row>
    <row r="27" spans="1:8">
      <c r="A27" t="s">
        <v>4055</v>
      </c>
      <c r="B27" t="s">
        <v>209</v>
      </c>
      <c r="C27" s="2" t="s">
        <v>250</v>
      </c>
      <c r="E27">
        <v>56699.832000000002</v>
      </c>
      <c r="G27">
        <v>3.0000000000000001E-3</v>
      </c>
      <c r="H27" t="s">
        <v>4041</v>
      </c>
    </row>
    <row r="28" spans="1:8">
      <c r="A28" t="s">
        <v>4055</v>
      </c>
      <c r="B28" t="s">
        <v>209</v>
      </c>
      <c r="C28" s="2" t="s">
        <v>249</v>
      </c>
      <c r="E28">
        <v>56705.466999999997</v>
      </c>
      <c r="G28">
        <v>2E-3</v>
      </c>
      <c r="H28" t="s">
        <v>4041</v>
      </c>
    </row>
    <row r="29" spans="1:8">
      <c r="A29" t="s">
        <v>4056</v>
      </c>
      <c r="B29" t="s">
        <v>594</v>
      </c>
      <c r="C29" s="2" t="s">
        <v>3999</v>
      </c>
      <c r="E29">
        <v>56711.565000000002</v>
      </c>
      <c r="G29">
        <v>3.0000000000000001E-3</v>
      </c>
      <c r="H29" t="s">
        <v>4041</v>
      </c>
    </row>
    <row r="30" spans="1:8">
      <c r="A30" t="s">
        <v>4057</v>
      </c>
      <c r="B30" t="s">
        <v>206</v>
      </c>
      <c r="C30" s="2" t="s">
        <v>248</v>
      </c>
      <c r="E30">
        <v>57425.078000000001</v>
      </c>
      <c r="G30">
        <v>8.0000000000000002E-3</v>
      </c>
      <c r="H30" t="s">
        <v>4044</v>
      </c>
    </row>
    <row r="31" spans="1:8">
      <c r="A31" t="s">
        <v>4058</v>
      </c>
      <c r="B31" t="s">
        <v>211</v>
      </c>
      <c r="C31" s="2" t="s">
        <v>248</v>
      </c>
      <c r="E31">
        <v>58005.2</v>
      </c>
      <c r="G31">
        <v>0.06</v>
      </c>
      <c r="H31" t="s">
        <v>12</v>
      </c>
    </row>
    <row r="32" spans="1:8">
      <c r="A32" t="s">
        <v>4058</v>
      </c>
      <c r="B32" t="s">
        <v>211</v>
      </c>
      <c r="C32" s="2" t="s">
        <v>250</v>
      </c>
      <c r="E32">
        <v>58027.1</v>
      </c>
      <c r="G32">
        <v>0.06</v>
      </c>
      <c r="H32" t="s">
        <v>12</v>
      </c>
    </row>
    <row r="33" spans="1:8">
      <c r="A33" t="s">
        <v>4059</v>
      </c>
      <c r="B33" t="s">
        <v>219</v>
      </c>
      <c r="C33" s="2" t="s">
        <v>249</v>
      </c>
      <c r="E33">
        <v>58041.987000000001</v>
      </c>
      <c r="G33">
        <v>5.0000000000000001E-3</v>
      </c>
      <c r="H33" t="s">
        <v>4041</v>
      </c>
    </row>
    <row r="34" spans="1:8">
      <c r="A34" t="s">
        <v>4059</v>
      </c>
      <c r="B34" t="s">
        <v>219</v>
      </c>
      <c r="C34" s="2" t="s">
        <v>251</v>
      </c>
      <c r="E34">
        <v>58042.063000000002</v>
      </c>
      <c r="G34">
        <v>4.0000000000000001E-3</v>
      </c>
      <c r="H34" t="s">
        <v>4041</v>
      </c>
    </row>
    <row r="35" spans="1:8">
      <c r="A35" t="s">
        <v>4060</v>
      </c>
      <c r="B35" t="s">
        <v>209</v>
      </c>
      <c r="C35" s="2" t="s">
        <v>250</v>
      </c>
      <c r="E35">
        <v>58049.972999999998</v>
      </c>
      <c r="G35">
        <v>7.0000000000000001E-3</v>
      </c>
      <c r="H35" t="s">
        <v>4044</v>
      </c>
    </row>
    <row r="36" spans="1:8">
      <c r="A36" t="s">
        <v>4060</v>
      </c>
      <c r="B36" t="s">
        <v>209</v>
      </c>
      <c r="C36" s="2" t="s">
        <v>249</v>
      </c>
      <c r="E36">
        <v>58053.387999999999</v>
      </c>
      <c r="G36">
        <v>8.0000000000000002E-3</v>
      </c>
      <c r="H36" t="s">
        <v>4041</v>
      </c>
    </row>
    <row r="37" spans="1:8">
      <c r="A37" t="s">
        <v>4061</v>
      </c>
      <c r="B37" t="s">
        <v>594</v>
      </c>
      <c r="C37" s="2" t="s">
        <v>251</v>
      </c>
      <c r="E37">
        <v>58054.711000000003</v>
      </c>
      <c r="G37">
        <v>4.0000000000000001E-3</v>
      </c>
      <c r="H37" t="s">
        <v>4041</v>
      </c>
    </row>
    <row r="38" spans="1:8">
      <c r="A38" t="s">
        <v>4061</v>
      </c>
      <c r="B38" t="s">
        <v>594</v>
      </c>
      <c r="C38" s="2" t="s">
        <v>252</v>
      </c>
      <c r="E38">
        <v>58054.713000000003</v>
      </c>
      <c r="G38">
        <v>3.0000000000000001E-3</v>
      </c>
      <c r="H38" t="s">
        <v>4041</v>
      </c>
    </row>
    <row r="39" spans="1:8">
      <c r="A39" t="s">
        <v>4062</v>
      </c>
      <c r="B39" t="s">
        <v>644</v>
      </c>
      <c r="C39" s="2" t="s">
        <v>2763</v>
      </c>
      <c r="E39">
        <v>58057.14</v>
      </c>
      <c r="G39">
        <v>4.0000000000000001E-3</v>
      </c>
      <c r="H39" t="s">
        <v>4041</v>
      </c>
    </row>
    <row r="40" spans="1:8">
      <c r="A40" t="s">
        <v>4063</v>
      </c>
      <c r="B40" t="s">
        <v>206</v>
      </c>
      <c r="C40" s="2" t="s">
        <v>248</v>
      </c>
      <c r="E40">
        <v>58478.050999999999</v>
      </c>
      <c r="G40">
        <v>0.03</v>
      </c>
      <c r="H40" t="s">
        <v>4041</v>
      </c>
    </row>
    <row r="41" spans="1:8">
      <c r="A41" t="s">
        <v>4051</v>
      </c>
      <c r="B41" t="s">
        <v>214</v>
      </c>
      <c r="C41" s="2" t="s">
        <v>251</v>
      </c>
      <c r="E41">
        <v>58789.879000000001</v>
      </c>
      <c r="G41">
        <v>5.0000000000000001E-3</v>
      </c>
      <c r="H41" t="s">
        <v>4044</v>
      </c>
    </row>
    <row r="42" spans="1:8">
      <c r="A42" t="s">
        <v>4051</v>
      </c>
      <c r="B42" t="s">
        <v>214</v>
      </c>
      <c r="C42" s="2" t="s">
        <v>252</v>
      </c>
      <c r="E42">
        <v>58902.05</v>
      </c>
      <c r="G42">
        <v>0.1</v>
      </c>
      <c r="H42" t="s">
        <v>4052</v>
      </c>
    </row>
    <row r="43" spans="1:8">
      <c r="A43" t="s">
        <v>4051</v>
      </c>
      <c r="B43" t="s">
        <v>214</v>
      </c>
      <c r="C43" s="2" t="s">
        <v>249</v>
      </c>
      <c r="E43">
        <v>59321.4</v>
      </c>
      <c r="G43">
        <v>0.15</v>
      </c>
      <c r="H43" t="s">
        <v>4052</v>
      </c>
    </row>
    <row r="44" spans="1:8">
      <c r="A44" t="s">
        <v>4051</v>
      </c>
      <c r="B44" t="s">
        <v>214</v>
      </c>
      <c r="C44" s="2" t="s">
        <v>250</v>
      </c>
      <c r="E44">
        <v>61242.25</v>
      </c>
      <c r="G44">
        <v>0.1</v>
      </c>
      <c r="H44" t="s">
        <v>4052</v>
      </c>
    </row>
    <row r="45" spans="1:8">
      <c r="A45" t="s">
        <v>4064</v>
      </c>
      <c r="B45" t="s">
        <v>211</v>
      </c>
      <c r="C45" s="2" t="s">
        <v>248</v>
      </c>
      <c r="E45">
        <v>58834.25</v>
      </c>
      <c r="G45">
        <v>0.06</v>
      </c>
      <c r="H45" t="s">
        <v>12</v>
      </c>
    </row>
    <row r="46" spans="1:8">
      <c r="A46" t="s">
        <v>4064</v>
      </c>
      <c r="B46" t="s">
        <v>211</v>
      </c>
      <c r="C46" s="2" t="s">
        <v>250</v>
      </c>
      <c r="E46">
        <v>58849.83</v>
      </c>
      <c r="G46">
        <v>0.06</v>
      </c>
      <c r="H46" t="s">
        <v>12</v>
      </c>
    </row>
    <row r="47" spans="1:8">
      <c r="A47" t="s">
        <v>4065</v>
      </c>
      <c r="B47" t="s">
        <v>219</v>
      </c>
      <c r="C47" s="2" t="s">
        <v>249</v>
      </c>
      <c r="E47">
        <v>58854.51</v>
      </c>
      <c r="G47">
        <v>3.0000000000000001E-3</v>
      </c>
      <c r="H47" t="s">
        <v>4048</v>
      </c>
    </row>
    <row r="48" spans="1:8">
      <c r="A48" t="s">
        <v>4065</v>
      </c>
      <c r="B48" t="s">
        <v>219</v>
      </c>
      <c r="C48" s="2" t="s">
        <v>251</v>
      </c>
      <c r="E48">
        <v>58854.754999999997</v>
      </c>
      <c r="G48">
        <v>3.0000000000000001E-3</v>
      </c>
      <c r="H48" t="s">
        <v>4048</v>
      </c>
    </row>
    <row r="49" spans="1:8">
      <c r="A49" t="s">
        <v>4066</v>
      </c>
      <c r="B49" t="s">
        <v>209</v>
      </c>
      <c r="C49" s="2" t="s">
        <v>250</v>
      </c>
      <c r="E49">
        <v>58862.463000000003</v>
      </c>
      <c r="G49">
        <v>3.7999999999999999E-2</v>
      </c>
      <c r="H49" t="s">
        <v>4044</v>
      </c>
    </row>
    <row r="50" spans="1:8">
      <c r="A50" t="s">
        <v>4066</v>
      </c>
      <c r="B50" t="s">
        <v>209</v>
      </c>
      <c r="C50" s="2" t="s">
        <v>249</v>
      </c>
      <c r="E50">
        <v>58864.603000000003</v>
      </c>
      <c r="G50">
        <v>1.6E-2</v>
      </c>
      <c r="H50" t="s">
        <v>4041</v>
      </c>
    </row>
    <row r="51" spans="1:8">
      <c r="A51" t="s">
        <v>4067</v>
      </c>
      <c r="B51" t="s">
        <v>594</v>
      </c>
      <c r="C51" s="2" t="s">
        <v>3999</v>
      </c>
      <c r="E51">
        <v>58864.644</v>
      </c>
      <c r="G51">
        <v>7.0000000000000001E-3</v>
      </c>
      <c r="H51" t="s">
        <v>4041</v>
      </c>
    </row>
    <row r="52" spans="1:8">
      <c r="A52" t="s">
        <v>4068</v>
      </c>
      <c r="B52" t="s">
        <v>206</v>
      </c>
      <c r="C52" s="2" t="s">
        <v>248</v>
      </c>
      <c r="E52">
        <v>59135.99</v>
      </c>
      <c r="G52">
        <v>0.06</v>
      </c>
      <c r="H52" t="s">
        <v>12</v>
      </c>
    </row>
    <row r="53" spans="1:8">
      <c r="A53" t="s">
        <v>4069</v>
      </c>
      <c r="B53" t="s">
        <v>209</v>
      </c>
      <c r="C53" s="2" t="s">
        <v>250</v>
      </c>
      <c r="E53">
        <v>59388.97</v>
      </c>
      <c r="G53">
        <v>0.06</v>
      </c>
      <c r="H53" t="s">
        <v>12</v>
      </c>
    </row>
    <row r="54" spans="1:8">
      <c r="A54" t="s">
        <v>4069</v>
      </c>
      <c r="B54" t="s">
        <v>209</v>
      </c>
      <c r="C54" s="2" t="s">
        <v>249</v>
      </c>
      <c r="E54">
        <v>59390.587</v>
      </c>
      <c r="G54">
        <v>1.7999999999999999E-2</v>
      </c>
      <c r="H54" t="s">
        <v>4044</v>
      </c>
    </row>
    <row r="55" spans="1:8">
      <c r="A55" t="s">
        <v>4070</v>
      </c>
      <c r="B55" t="s">
        <v>206</v>
      </c>
      <c r="C55" s="2" t="s">
        <v>248</v>
      </c>
      <c r="E55">
        <v>59574.559999999998</v>
      </c>
      <c r="G55">
        <v>0.06</v>
      </c>
      <c r="H55" t="s">
        <v>12</v>
      </c>
    </row>
    <row r="56" spans="1:8">
      <c r="A56" t="s">
        <v>4071</v>
      </c>
      <c r="B56" t="s">
        <v>209</v>
      </c>
      <c r="C56" s="2" t="s">
        <v>250</v>
      </c>
      <c r="E56">
        <v>59751.15</v>
      </c>
      <c r="G56">
        <v>0.06</v>
      </c>
      <c r="H56" t="s">
        <v>12</v>
      </c>
    </row>
    <row r="57" spans="1:8">
      <c r="A57" t="s">
        <v>4071</v>
      </c>
      <c r="B57" t="s">
        <v>209</v>
      </c>
      <c r="C57" s="2" t="s">
        <v>249</v>
      </c>
      <c r="E57">
        <v>59751.51</v>
      </c>
      <c r="G57">
        <v>0.06</v>
      </c>
      <c r="H57" t="s">
        <v>12</v>
      </c>
    </row>
    <row r="58" spans="1:8">
      <c r="A58" t="s">
        <v>4072</v>
      </c>
      <c r="B58" t="s">
        <v>209</v>
      </c>
      <c r="C58" s="2" t="s">
        <v>2861</v>
      </c>
      <c r="E58">
        <v>60007.6</v>
      </c>
      <c r="G58">
        <v>0.2</v>
      </c>
      <c r="H58" t="s">
        <v>12</v>
      </c>
    </row>
    <row r="59" spans="1:8">
      <c r="A59" t="s">
        <v>4073</v>
      </c>
      <c r="B59" t="s">
        <v>202</v>
      </c>
      <c r="C59" s="2" t="s">
        <v>203</v>
      </c>
      <c r="E59">
        <v>61106.45</v>
      </c>
      <c r="G59">
        <v>0.2</v>
      </c>
      <c r="H59" t="s">
        <v>4074</v>
      </c>
    </row>
    <row r="60" spans="1:8">
      <c r="A60" t="s">
        <v>4051</v>
      </c>
      <c r="B60" t="s">
        <v>216</v>
      </c>
      <c r="C60" s="2" t="s">
        <v>251</v>
      </c>
      <c r="E60">
        <v>61773.120000000003</v>
      </c>
      <c r="G60">
        <v>0.05</v>
      </c>
      <c r="H60" t="s">
        <v>4052</v>
      </c>
    </row>
    <row r="61" spans="1:8">
      <c r="A61" t="s">
        <v>4051</v>
      </c>
      <c r="B61" t="s">
        <v>216</v>
      </c>
      <c r="C61" s="2" t="s">
        <v>249</v>
      </c>
      <c r="E61">
        <v>62181.85</v>
      </c>
      <c r="G61">
        <v>0.15</v>
      </c>
      <c r="H61" t="s">
        <v>4052</v>
      </c>
    </row>
    <row r="62" spans="1:8">
      <c r="A62" t="s">
        <v>4051</v>
      </c>
      <c r="B62" t="s">
        <v>216</v>
      </c>
      <c r="C62" s="2" t="s">
        <v>248</v>
      </c>
      <c r="E62">
        <v>64575.5</v>
      </c>
      <c r="G62">
        <v>0.4</v>
      </c>
      <c r="H62" t="s">
        <v>4052</v>
      </c>
    </row>
    <row r="63" spans="1:8">
      <c r="A63" t="s">
        <v>4051</v>
      </c>
      <c r="B63" t="s">
        <v>216</v>
      </c>
      <c r="C63" s="2" t="s">
        <v>250</v>
      </c>
      <c r="E63">
        <v>66340.7</v>
      </c>
      <c r="G63">
        <v>0.6</v>
      </c>
      <c r="H63" t="s">
        <v>4052</v>
      </c>
    </row>
    <row r="64" spans="1:8">
      <c r="A64" t="s">
        <v>4051</v>
      </c>
      <c r="B64" t="s">
        <v>218</v>
      </c>
      <c r="C64" s="2" t="s">
        <v>250</v>
      </c>
      <c r="E64">
        <v>63531.35</v>
      </c>
      <c r="G64">
        <v>0.1</v>
      </c>
      <c r="H64" t="s">
        <v>4052</v>
      </c>
    </row>
    <row r="65" spans="1:8">
      <c r="A65" t="s">
        <v>4051</v>
      </c>
      <c r="B65" t="s">
        <v>218</v>
      </c>
      <c r="C65" s="2" t="s">
        <v>249</v>
      </c>
      <c r="E65">
        <v>66972.3</v>
      </c>
      <c r="G65">
        <v>0.1</v>
      </c>
      <c r="H65" t="s">
        <v>4052</v>
      </c>
    </row>
    <row r="66" spans="1:8">
      <c r="A66" t="s">
        <v>4051</v>
      </c>
      <c r="B66" t="s">
        <v>219</v>
      </c>
      <c r="C66" s="2" t="s">
        <v>249</v>
      </c>
      <c r="E66">
        <v>64264.5</v>
      </c>
      <c r="G66">
        <v>0.3</v>
      </c>
      <c r="H66" t="s">
        <v>4052</v>
      </c>
    </row>
    <row r="67" spans="1:8">
      <c r="A67" t="s">
        <v>4051</v>
      </c>
      <c r="B67" t="s">
        <v>219</v>
      </c>
      <c r="C67" s="2" t="s">
        <v>251</v>
      </c>
      <c r="E67">
        <v>65637.75</v>
      </c>
      <c r="G67">
        <v>0.15</v>
      </c>
      <c r="H67" t="s">
        <v>4052</v>
      </c>
    </row>
    <row r="68" spans="1:8">
      <c r="A68" t="s">
        <v>4051</v>
      </c>
      <c r="B68" t="s">
        <v>211</v>
      </c>
      <c r="C68" s="2" t="s">
        <v>250</v>
      </c>
      <c r="E68">
        <v>65979.199999999997</v>
      </c>
      <c r="G68">
        <v>1</v>
      </c>
      <c r="H68" t="s">
        <v>4052</v>
      </c>
    </row>
    <row r="69" spans="1:8">
      <c r="A69" t="s">
        <v>4051</v>
      </c>
      <c r="B69" t="s">
        <v>211</v>
      </c>
      <c r="C69" s="2" t="s">
        <v>248</v>
      </c>
      <c r="E69">
        <v>66033</v>
      </c>
      <c r="G69">
        <v>10</v>
      </c>
      <c r="H69" t="s">
        <v>4052</v>
      </c>
    </row>
    <row r="70" spans="1:8">
      <c r="A70" t="s">
        <v>4075</v>
      </c>
      <c r="B70" t="s">
        <v>211</v>
      </c>
      <c r="C70" s="2" t="s">
        <v>250</v>
      </c>
      <c r="E70">
        <v>72184</v>
      </c>
      <c r="G70">
        <v>20</v>
      </c>
      <c r="H70" t="s">
        <v>4052</v>
      </c>
    </row>
    <row r="71" spans="1:8">
      <c r="A71" t="s">
        <v>4075</v>
      </c>
      <c r="B71" t="s">
        <v>211</v>
      </c>
      <c r="C71" s="2" t="s">
        <v>248</v>
      </c>
      <c r="E71">
        <v>76404</v>
      </c>
      <c r="G71">
        <v>30</v>
      </c>
      <c r="H71" t="s">
        <v>4052</v>
      </c>
    </row>
    <row r="72" spans="1:8">
      <c r="A72" t="s">
        <v>4075</v>
      </c>
      <c r="B72" t="s">
        <v>219</v>
      </c>
      <c r="C72" s="2" t="s">
        <v>251</v>
      </c>
      <c r="E72">
        <v>72334.3</v>
      </c>
      <c r="G72">
        <v>0.3</v>
      </c>
      <c r="H72" t="s">
        <v>4052</v>
      </c>
    </row>
    <row r="73" spans="1:8">
      <c r="A73" t="s">
        <v>4075</v>
      </c>
      <c r="B73" t="s">
        <v>219</v>
      </c>
      <c r="C73" s="2" t="s">
        <v>249</v>
      </c>
      <c r="E73">
        <v>76810.100000000006</v>
      </c>
      <c r="G73">
        <v>0.8</v>
      </c>
      <c r="H73" t="s">
        <v>4052</v>
      </c>
    </row>
    <row r="74" spans="1:8">
      <c r="A74" t="s">
        <v>4075</v>
      </c>
      <c r="B74" t="s">
        <v>218</v>
      </c>
      <c r="C74" s="2" t="s">
        <v>249</v>
      </c>
      <c r="E74">
        <v>73527.5</v>
      </c>
      <c r="G74">
        <v>0.8</v>
      </c>
      <c r="H74" t="s">
        <v>4052</v>
      </c>
    </row>
    <row r="75" spans="1:8">
      <c r="A75" t="s">
        <v>4075</v>
      </c>
      <c r="B75" t="s">
        <v>218</v>
      </c>
      <c r="C75" s="2" t="s">
        <v>250</v>
      </c>
      <c r="E75">
        <v>77942.3</v>
      </c>
      <c r="G75">
        <v>0.5</v>
      </c>
      <c r="H75" t="s">
        <v>4052</v>
      </c>
    </row>
    <row r="76" spans="1:8">
      <c r="A76" t="s">
        <v>4076</v>
      </c>
      <c r="B76" t="s">
        <v>231</v>
      </c>
      <c r="C76" s="2" t="s">
        <v>251</v>
      </c>
      <c r="E76">
        <v>79413</v>
      </c>
      <c r="G76">
        <v>2</v>
      </c>
      <c r="H76" t="s">
        <v>4052</v>
      </c>
    </row>
    <row r="77" spans="1:8">
      <c r="A77" t="s">
        <v>4076</v>
      </c>
      <c r="B77" t="s">
        <v>231</v>
      </c>
      <c r="C77" s="2" t="s">
        <v>249</v>
      </c>
      <c r="E77">
        <v>80164</v>
      </c>
      <c r="G77">
        <v>2</v>
      </c>
      <c r="H77" t="s">
        <v>4052</v>
      </c>
    </row>
    <row r="78" spans="1:8">
      <c r="A78" t="s">
        <v>4076</v>
      </c>
      <c r="B78" t="s">
        <v>231</v>
      </c>
      <c r="C78" s="2" t="s">
        <v>250</v>
      </c>
      <c r="E78">
        <v>81266.399999999994</v>
      </c>
      <c r="G78">
        <v>2</v>
      </c>
      <c r="H78" t="s">
        <v>4052</v>
      </c>
    </row>
    <row r="79" spans="1:8">
      <c r="A79" t="s">
        <v>4076</v>
      </c>
      <c r="B79" t="s">
        <v>231</v>
      </c>
      <c r="C79" s="2" t="s">
        <v>248</v>
      </c>
      <c r="E79">
        <v>83983</v>
      </c>
      <c r="G79">
        <v>2</v>
      </c>
      <c r="H79" t="s">
        <v>4052</v>
      </c>
    </row>
    <row r="80" spans="1:8">
      <c r="A80" t="s">
        <v>4076</v>
      </c>
      <c r="B80" t="s">
        <v>209</v>
      </c>
      <c r="C80" s="2" t="s">
        <v>249</v>
      </c>
      <c r="E80">
        <v>82071.100000000006</v>
      </c>
      <c r="G80">
        <v>2</v>
      </c>
      <c r="H80" t="s">
        <v>4052</v>
      </c>
    </row>
    <row r="81" spans="1:8">
      <c r="A81" t="s">
        <v>4076</v>
      </c>
      <c r="B81" t="s">
        <v>209</v>
      </c>
      <c r="C81" s="2" t="s">
        <v>250</v>
      </c>
      <c r="E81">
        <v>84595</v>
      </c>
      <c r="G81">
        <v>2</v>
      </c>
      <c r="H81" t="s">
        <v>4052</v>
      </c>
    </row>
    <row r="82" spans="1:8">
      <c r="A82" t="s">
        <v>4077</v>
      </c>
      <c r="B82" t="s">
        <v>209</v>
      </c>
      <c r="C82" s="2" t="s">
        <v>249</v>
      </c>
      <c r="E82">
        <v>86484.6</v>
      </c>
      <c r="G82">
        <v>2</v>
      </c>
      <c r="H82" t="s">
        <v>4052</v>
      </c>
    </row>
    <row r="83" spans="1:8">
      <c r="A83" t="s">
        <v>4077</v>
      </c>
      <c r="B83" t="s">
        <v>209</v>
      </c>
      <c r="C83" s="2" t="s">
        <v>250</v>
      </c>
      <c r="E83">
        <v>87432.3</v>
      </c>
      <c r="G83">
        <v>2</v>
      </c>
      <c r="H83" t="s">
        <v>4052</v>
      </c>
    </row>
    <row r="84" spans="1:8">
      <c r="A84" t="s">
        <v>4078</v>
      </c>
      <c r="B84" t="s">
        <v>595</v>
      </c>
      <c r="C84" s="2" t="s">
        <v>250</v>
      </c>
      <c r="E84">
        <v>86836.2</v>
      </c>
      <c r="G84">
        <v>2</v>
      </c>
      <c r="H84" t="s">
        <v>4052</v>
      </c>
    </row>
    <row r="85" spans="1:8">
      <c r="A85" t="s">
        <v>4078</v>
      </c>
      <c r="B85" t="s">
        <v>594</v>
      </c>
      <c r="C85" s="2" t="s">
        <v>252</v>
      </c>
      <c r="E85">
        <v>86896.1</v>
      </c>
      <c r="G85">
        <v>2</v>
      </c>
      <c r="H85" t="s">
        <v>4052</v>
      </c>
    </row>
    <row r="86" spans="1:8">
      <c r="A86" t="s">
        <v>4078</v>
      </c>
      <c r="B86" t="s">
        <v>594</v>
      </c>
      <c r="C86" s="2" t="s">
        <v>251</v>
      </c>
      <c r="E86">
        <v>88691.9</v>
      </c>
      <c r="G86">
        <v>2</v>
      </c>
      <c r="H86" t="s">
        <v>4052</v>
      </c>
    </row>
    <row r="87" spans="1:8">
      <c r="A87" t="s">
        <v>4078</v>
      </c>
      <c r="B87" t="s">
        <v>665</v>
      </c>
      <c r="C87" s="2" t="s">
        <v>250</v>
      </c>
      <c r="E87">
        <v>86986.3</v>
      </c>
      <c r="G87">
        <v>2</v>
      </c>
      <c r="H87" t="s">
        <v>4052</v>
      </c>
    </row>
    <row r="88" spans="1:8">
      <c r="A88" t="s">
        <v>4079</v>
      </c>
      <c r="B88" t="s">
        <v>3600</v>
      </c>
      <c r="E88">
        <v>87044.3</v>
      </c>
      <c r="G88">
        <v>1.5</v>
      </c>
      <c r="H88" t="s">
        <v>4052</v>
      </c>
    </row>
    <row r="89" spans="1:8">
      <c r="A89" t="s">
        <v>4078</v>
      </c>
      <c r="B89" t="s">
        <v>651</v>
      </c>
      <c r="C89" s="2" t="s">
        <v>1702</v>
      </c>
      <c r="E89">
        <v>87122.7</v>
      </c>
      <c r="F89" t="s">
        <v>34</v>
      </c>
      <c r="G89">
        <v>2</v>
      </c>
      <c r="H89" t="s">
        <v>4052</v>
      </c>
    </row>
    <row r="90" spans="1:8">
      <c r="A90" t="s">
        <v>4078</v>
      </c>
      <c r="B90" t="s">
        <v>651</v>
      </c>
      <c r="C90" s="2" t="s">
        <v>252</v>
      </c>
      <c r="E90">
        <v>88593.7</v>
      </c>
      <c r="G90">
        <v>2</v>
      </c>
      <c r="H90" t="s">
        <v>4052</v>
      </c>
    </row>
    <row r="91" spans="1:8">
      <c r="A91" t="s">
        <v>4078</v>
      </c>
      <c r="B91" t="s">
        <v>209</v>
      </c>
      <c r="C91" s="2" t="s">
        <v>249</v>
      </c>
      <c r="E91">
        <v>87143.6</v>
      </c>
      <c r="G91">
        <v>2</v>
      </c>
      <c r="H91" t="s">
        <v>4052</v>
      </c>
    </row>
    <row r="92" spans="1:8">
      <c r="A92" t="s">
        <v>4078</v>
      </c>
      <c r="B92" t="s">
        <v>209</v>
      </c>
      <c r="C92" s="2" t="s">
        <v>250</v>
      </c>
      <c r="E92">
        <v>88833.1</v>
      </c>
      <c r="G92">
        <v>2</v>
      </c>
      <c r="H92" t="s">
        <v>4052</v>
      </c>
    </row>
    <row r="93" spans="1:8">
      <c r="A93" t="s">
        <v>4078</v>
      </c>
      <c r="B93" t="s">
        <v>586</v>
      </c>
      <c r="C93" s="2" t="s">
        <v>249</v>
      </c>
      <c r="E93">
        <v>87221.7</v>
      </c>
      <c r="G93">
        <v>2</v>
      </c>
      <c r="H93" t="s">
        <v>4052</v>
      </c>
    </row>
    <row r="94" spans="1:8">
      <c r="A94" t="s">
        <v>4078</v>
      </c>
      <c r="B94" t="s">
        <v>586</v>
      </c>
      <c r="C94" s="2" t="s">
        <v>248</v>
      </c>
      <c r="E94">
        <v>88443.7</v>
      </c>
      <c r="G94">
        <v>2</v>
      </c>
      <c r="H94" t="s">
        <v>4052</v>
      </c>
    </row>
    <row r="95" spans="1:8">
      <c r="A95" t="s">
        <v>4078</v>
      </c>
      <c r="B95" t="s">
        <v>586</v>
      </c>
      <c r="C95" s="2" t="s">
        <v>250</v>
      </c>
      <c r="E95">
        <v>88546.4</v>
      </c>
      <c r="G95">
        <v>2</v>
      </c>
      <c r="H95" t="s">
        <v>4052</v>
      </c>
    </row>
    <row r="96" spans="1:8">
      <c r="A96" t="s">
        <v>4078</v>
      </c>
      <c r="B96" t="s">
        <v>577</v>
      </c>
      <c r="C96" s="2" t="s">
        <v>251</v>
      </c>
      <c r="E96">
        <v>87227.1</v>
      </c>
      <c r="F96" t="s">
        <v>34</v>
      </c>
      <c r="G96">
        <v>2</v>
      </c>
      <c r="H96" t="s">
        <v>4052</v>
      </c>
    </row>
    <row r="97" spans="1:8">
      <c r="A97" t="s">
        <v>4078</v>
      </c>
      <c r="B97" t="s">
        <v>577</v>
      </c>
      <c r="C97" s="2" t="s">
        <v>249</v>
      </c>
      <c r="E97">
        <v>88886.1</v>
      </c>
      <c r="G97">
        <v>2</v>
      </c>
      <c r="H97" t="s">
        <v>4052</v>
      </c>
    </row>
    <row r="98" spans="1:8">
      <c r="A98" t="s">
        <v>4078</v>
      </c>
      <c r="B98" t="s">
        <v>231</v>
      </c>
      <c r="C98" s="2" t="s">
        <v>251</v>
      </c>
      <c r="E98">
        <v>87312.5</v>
      </c>
      <c r="G98">
        <v>2</v>
      </c>
      <c r="H98" t="s">
        <v>4052</v>
      </c>
    </row>
    <row r="99" spans="1:8">
      <c r="A99" t="s">
        <v>4078</v>
      </c>
      <c r="B99" t="s">
        <v>231</v>
      </c>
      <c r="C99" s="2" t="s">
        <v>249</v>
      </c>
      <c r="E99">
        <v>88737.3</v>
      </c>
      <c r="G99">
        <v>2</v>
      </c>
      <c r="H99" t="s">
        <v>4052</v>
      </c>
    </row>
    <row r="100" spans="1:8">
      <c r="A100" t="s">
        <v>4078</v>
      </c>
      <c r="B100" t="s">
        <v>231</v>
      </c>
      <c r="C100" s="2" t="s">
        <v>250</v>
      </c>
      <c r="E100">
        <v>91604.3</v>
      </c>
      <c r="G100">
        <v>2</v>
      </c>
      <c r="H100" t="s">
        <v>4052</v>
      </c>
    </row>
    <row r="101" spans="1:8">
      <c r="A101" t="s">
        <v>4078</v>
      </c>
      <c r="B101" t="s">
        <v>576</v>
      </c>
      <c r="C101" s="2" t="s">
        <v>252</v>
      </c>
      <c r="E101">
        <v>87357.3</v>
      </c>
      <c r="G101">
        <v>2</v>
      </c>
      <c r="H101" t="s">
        <v>4052</v>
      </c>
    </row>
    <row r="102" spans="1:8">
      <c r="A102" t="s">
        <v>4078</v>
      </c>
      <c r="B102" t="s">
        <v>576</v>
      </c>
      <c r="C102" s="2" t="s">
        <v>251</v>
      </c>
      <c r="E102">
        <v>88818.6</v>
      </c>
      <c r="G102">
        <v>2</v>
      </c>
      <c r="H102" t="s">
        <v>4052</v>
      </c>
    </row>
    <row r="103" spans="1:8">
      <c r="A103" t="s">
        <v>4078</v>
      </c>
      <c r="B103" t="s">
        <v>576</v>
      </c>
      <c r="C103" s="2" t="s">
        <v>249</v>
      </c>
      <c r="E103">
        <v>91866.1</v>
      </c>
      <c r="F103" t="s">
        <v>34</v>
      </c>
      <c r="G103">
        <v>2</v>
      </c>
      <c r="H103" t="s">
        <v>4052</v>
      </c>
    </row>
    <row r="104" spans="1:8">
      <c r="A104" t="s">
        <v>4079</v>
      </c>
      <c r="B104" t="s">
        <v>3596</v>
      </c>
      <c r="E104">
        <v>88297.9</v>
      </c>
      <c r="G104">
        <v>1.5</v>
      </c>
      <c r="H104" t="s">
        <v>4052</v>
      </c>
    </row>
    <row r="105" spans="1:8">
      <c r="A105" t="s">
        <v>4080</v>
      </c>
      <c r="B105" t="s">
        <v>231</v>
      </c>
      <c r="C105" s="2" t="s">
        <v>251</v>
      </c>
      <c r="E105">
        <v>90365.8</v>
      </c>
      <c r="G105">
        <v>2</v>
      </c>
      <c r="H105" t="s">
        <v>4052</v>
      </c>
    </row>
    <row r="106" spans="1:8">
      <c r="A106" t="s">
        <v>4080</v>
      </c>
      <c r="B106" t="s">
        <v>231</v>
      </c>
      <c r="C106" s="2" t="s">
        <v>249</v>
      </c>
      <c r="E106">
        <v>90981</v>
      </c>
      <c r="G106">
        <v>2</v>
      </c>
      <c r="H106" t="s">
        <v>4052</v>
      </c>
    </row>
    <row r="107" spans="1:8">
      <c r="A107" t="s">
        <v>4080</v>
      </c>
      <c r="B107" t="s">
        <v>209</v>
      </c>
      <c r="C107" s="2" t="s">
        <v>249</v>
      </c>
      <c r="E107">
        <v>92152.2</v>
      </c>
      <c r="G107">
        <v>2</v>
      </c>
      <c r="H107" t="s">
        <v>4052</v>
      </c>
    </row>
    <row r="108" spans="1:8">
      <c r="A108" t="s">
        <v>4081</v>
      </c>
      <c r="B108" t="s">
        <v>209</v>
      </c>
      <c r="C108" s="2" t="s">
        <v>250</v>
      </c>
      <c r="E108">
        <v>94049</v>
      </c>
      <c r="G108">
        <v>2</v>
      </c>
      <c r="H108" t="s">
        <v>4052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32CE-D59C-4C71-A1F9-E8D358AF2CE9}">
  <dimension ref="A1:J560"/>
  <sheetViews>
    <sheetView workbookViewId="0"/>
  </sheetViews>
  <sheetFormatPr defaultRowHeight="15"/>
  <cols>
    <col min="1" max="1" width="19.140625" bestFit="1" customWidth="1"/>
    <col min="2" max="2" width="8.2851562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36" bestFit="1" customWidth="1"/>
    <col min="10" max="10" width="10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789</v>
      </c>
      <c r="B2" t="s">
        <v>13</v>
      </c>
      <c r="C2">
        <v>2</v>
      </c>
      <c r="E2">
        <v>0</v>
      </c>
      <c r="G2">
        <v>2E-3</v>
      </c>
      <c r="H2">
        <v>0.66600000000000004</v>
      </c>
      <c r="I2">
        <v>100</v>
      </c>
      <c r="J2" t="s">
        <v>790</v>
      </c>
    </row>
    <row r="3" spans="1:10">
      <c r="A3" t="s">
        <v>789</v>
      </c>
      <c r="B3" t="s">
        <v>13</v>
      </c>
      <c r="C3">
        <v>3</v>
      </c>
      <c r="E3">
        <v>170.1328</v>
      </c>
      <c r="G3">
        <v>1.9E-3</v>
      </c>
      <c r="H3">
        <v>1.083</v>
      </c>
      <c r="I3">
        <v>100</v>
      </c>
      <c r="J3" t="s">
        <v>790</v>
      </c>
    </row>
    <row r="4" spans="1:10">
      <c r="A4" t="s">
        <v>789</v>
      </c>
      <c r="B4" t="s">
        <v>13</v>
      </c>
      <c r="C4">
        <v>4</v>
      </c>
      <c r="E4">
        <v>386.87400000000002</v>
      </c>
      <c r="G4">
        <v>2E-3</v>
      </c>
      <c r="H4">
        <v>1.25</v>
      </c>
      <c r="I4">
        <v>100</v>
      </c>
      <c r="J4" t="s">
        <v>790</v>
      </c>
    </row>
    <row r="5" spans="1:10">
      <c r="A5" t="s">
        <v>791</v>
      </c>
      <c r="B5" t="s">
        <v>11</v>
      </c>
      <c r="C5">
        <v>1</v>
      </c>
      <c r="E5">
        <v>6556.8329999999996</v>
      </c>
      <c r="G5">
        <v>3.0000000000000001E-3</v>
      </c>
      <c r="H5">
        <v>0</v>
      </c>
      <c r="I5">
        <v>100</v>
      </c>
      <c r="J5" t="s">
        <v>790</v>
      </c>
    </row>
    <row r="6" spans="1:10">
      <c r="A6" t="s">
        <v>791</v>
      </c>
      <c r="B6" t="s">
        <v>11</v>
      </c>
      <c r="C6">
        <v>2</v>
      </c>
      <c r="E6">
        <v>6598.7650000000003</v>
      </c>
      <c r="G6">
        <v>3.0000000000000001E-3</v>
      </c>
      <c r="H6">
        <v>0.99</v>
      </c>
      <c r="I6">
        <v>100</v>
      </c>
      <c r="J6" t="s">
        <v>790</v>
      </c>
    </row>
    <row r="7" spans="1:10">
      <c r="A7" t="s">
        <v>791</v>
      </c>
      <c r="B7" t="s">
        <v>11</v>
      </c>
      <c r="C7">
        <v>3</v>
      </c>
      <c r="E7">
        <v>6661.0060000000003</v>
      </c>
      <c r="G7">
        <v>2E-3</v>
      </c>
      <c r="H7">
        <v>1.25</v>
      </c>
      <c r="I7">
        <v>100</v>
      </c>
      <c r="J7" t="s">
        <v>790</v>
      </c>
    </row>
    <row r="8" spans="1:10">
      <c r="A8" t="s">
        <v>791</v>
      </c>
      <c r="B8" t="s">
        <v>11</v>
      </c>
      <c r="C8">
        <v>4</v>
      </c>
      <c r="E8">
        <v>6742.7560000000003</v>
      </c>
      <c r="G8">
        <v>2E-3</v>
      </c>
      <c r="H8">
        <v>1.35</v>
      </c>
      <c r="I8">
        <v>100</v>
      </c>
      <c r="J8" t="s">
        <v>790</v>
      </c>
    </row>
    <row r="9" spans="1:10">
      <c r="A9" t="s">
        <v>791</v>
      </c>
      <c r="B9" t="s">
        <v>11</v>
      </c>
      <c r="C9">
        <v>5</v>
      </c>
      <c r="E9">
        <v>6842.9620000000004</v>
      </c>
      <c r="G9">
        <v>3.0000000000000001E-3</v>
      </c>
      <c r="H9">
        <v>1.41</v>
      </c>
      <c r="I9">
        <v>100</v>
      </c>
      <c r="J9" t="s">
        <v>790</v>
      </c>
    </row>
    <row r="10" spans="1:10">
      <c r="A10" t="s">
        <v>789</v>
      </c>
      <c r="B10" t="s">
        <v>30</v>
      </c>
      <c r="C10">
        <v>2</v>
      </c>
      <c r="E10">
        <v>7255.3549999999996</v>
      </c>
      <c r="G10">
        <v>3.0000000000000001E-3</v>
      </c>
      <c r="H10">
        <v>1.02</v>
      </c>
      <c r="I10">
        <v>96</v>
      </c>
      <c r="J10" t="s">
        <v>790</v>
      </c>
    </row>
    <row r="11" spans="1:10">
      <c r="A11" t="s">
        <v>789</v>
      </c>
      <c r="B11" t="s">
        <v>21</v>
      </c>
      <c r="C11">
        <v>0</v>
      </c>
      <c r="E11">
        <v>8436.6180000000004</v>
      </c>
      <c r="G11">
        <v>4.0000000000000001E-3</v>
      </c>
      <c r="I11" t="s">
        <v>792</v>
      </c>
      <c r="J11" t="s">
        <v>790</v>
      </c>
    </row>
    <row r="12" spans="1:10">
      <c r="A12" t="s">
        <v>789</v>
      </c>
      <c r="B12" t="s">
        <v>21</v>
      </c>
      <c r="C12">
        <v>1</v>
      </c>
      <c r="E12">
        <v>8492.4220000000005</v>
      </c>
      <c r="G12">
        <v>2E-3</v>
      </c>
      <c r="H12">
        <v>1.5</v>
      </c>
      <c r="I12" t="s">
        <v>792</v>
      </c>
      <c r="J12" t="s">
        <v>790</v>
      </c>
    </row>
    <row r="13" spans="1:10">
      <c r="A13" t="s">
        <v>789</v>
      </c>
      <c r="B13" t="s">
        <v>21</v>
      </c>
      <c r="C13">
        <v>2</v>
      </c>
      <c r="E13">
        <v>8602.3441000000003</v>
      </c>
      <c r="G13">
        <v>1.9E-3</v>
      </c>
      <c r="H13">
        <v>1.49</v>
      </c>
      <c r="I13" t="s">
        <v>793</v>
      </c>
      <c r="J13" t="s">
        <v>790</v>
      </c>
    </row>
    <row r="14" spans="1:10">
      <c r="A14" t="s">
        <v>791</v>
      </c>
      <c r="B14" t="s">
        <v>19</v>
      </c>
      <c r="C14">
        <v>2</v>
      </c>
      <c r="E14">
        <v>11531.761</v>
      </c>
      <c r="G14">
        <v>2E-3</v>
      </c>
      <c r="H14">
        <v>0.67</v>
      </c>
      <c r="I14">
        <v>100</v>
      </c>
      <c r="J14" t="s">
        <v>790</v>
      </c>
    </row>
    <row r="15" spans="1:10">
      <c r="A15" t="s">
        <v>791</v>
      </c>
      <c r="B15" t="s">
        <v>19</v>
      </c>
      <c r="C15">
        <v>3</v>
      </c>
      <c r="E15">
        <v>11639.8109</v>
      </c>
      <c r="G15">
        <v>1.9E-3</v>
      </c>
      <c r="H15">
        <v>1.08</v>
      </c>
      <c r="I15">
        <v>100</v>
      </c>
      <c r="J15" t="s">
        <v>790</v>
      </c>
    </row>
    <row r="16" spans="1:10">
      <c r="A16" t="s">
        <v>791</v>
      </c>
      <c r="B16" t="s">
        <v>19</v>
      </c>
      <c r="C16">
        <v>4</v>
      </c>
      <c r="E16">
        <v>11776.812</v>
      </c>
      <c r="G16">
        <v>2E-3</v>
      </c>
      <c r="H16">
        <v>1.26</v>
      </c>
      <c r="I16">
        <v>98</v>
      </c>
      <c r="J16" t="s">
        <v>790</v>
      </c>
    </row>
    <row r="17" spans="1:10">
      <c r="A17" t="s">
        <v>789</v>
      </c>
      <c r="B17" t="s">
        <v>25</v>
      </c>
      <c r="C17">
        <v>4</v>
      </c>
      <c r="E17">
        <v>12118.393</v>
      </c>
      <c r="G17">
        <v>3.0000000000000001E-3</v>
      </c>
      <c r="H17">
        <v>0.98</v>
      </c>
      <c r="I17" t="s">
        <v>794</v>
      </c>
      <c r="J17" t="s">
        <v>790</v>
      </c>
    </row>
    <row r="18" spans="1:10">
      <c r="A18" t="s">
        <v>795</v>
      </c>
      <c r="B18" t="s">
        <v>17</v>
      </c>
      <c r="C18">
        <v>1</v>
      </c>
      <c r="E18">
        <v>13981.772999999999</v>
      </c>
      <c r="G18">
        <v>3.0000000000000001E-3</v>
      </c>
      <c r="H18">
        <v>2.5</v>
      </c>
      <c r="I18">
        <v>100</v>
      </c>
      <c r="J18" t="s">
        <v>790</v>
      </c>
    </row>
    <row r="19" spans="1:10">
      <c r="A19" t="s">
        <v>795</v>
      </c>
      <c r="B19" t="s">
        <v>17</v>
      </c>
      <c r="C19">
        <v>2</v>
      </c>
      <c r="E19">
        <v>14028.436</v>
      </c>
      <c r="G19">
        <v>3.0000000000000001E-3</v>
      </c>
      <c r="H19">
        <v>1.82</v>
      </c>
      <c r="I19">
        <v>100</v>
      </c>
      <c r="J19" t="s">
        <v>790</v>
      </c>
    </row>
    <row r="20" spans="1:10">
      <c r="A20" t="s">
        <v>795</v>
      </c>
      <c r="B20" t="s">
        <v>17</v>
      </c>
      <c r="C20">
        <v>3</v>
      </c>
      <c r="E20">
        <v>14105.634</v>
      </c>
      <c r="G20">
        <v>3.0000000000000001E-3</v>
      </c>
      <c r="H20">
        <v>1.66</v>
      </c>
      <c r="I20">
        <v>100</v>
      </c>
      <c r="J20" t="s">
        <v>790</v>
      </c>
    </row>
    <row r="21" spans="1:10">
      <c r="A21" t="s">
        <v>796</v>
      </c>
      <c r="B21" t="s">
        <v>23</v>
      </c>
      <c r="C21">
        <v>3</v>
      </c>
      <c r="E21">
        <v>15108.111000000001</v>
      </c>
      <c r="G21">
        <v>2E-3</v>
      </c>
      <c r="H21">
        <v>0.74</v>
      </c>
      <c r="I21">
        <v>100</v>
      </c>
      <c r="J21" t="s">
        <v>790</v>
      </c>
    </row>
    <row r="22" spans="1:10">
      <c r="A22" t="s">
        <v>796</v>
      </c>
      <c r="B22" t="s">
        <v>23</v>
      </c>
      <c r="C22">
        <v>4</v>
      </c>
      <c r="E22">
        <v>15156.802</v>
      </c>
      <c r="G22">
        <v>2E-3</v>
      </c>
      <c r="H22">
        <v>1.06</v>
      </c>
      <c r="I22">
        <v>100</v>
      </c>
      <c r="J22" t="s">
        <v>790</v>
      </c>
    </row>
    <row r="23" spans="1:10">
      <c r="A23" t="s">
        <v>796</v>
      </c>
      <c r="B23" t="s">
        <v>23</v>
      </c>
      <c r="C23">
        <v>5</v>
      </c>
      <c r="E23">
        <v>15220.393</v>
      </c>
      <c r="G23">
        <v>3.0000000000000001E-3</v>
      </c>
      <c r="H23">
        <v>1.21</v>
      </c>
      <c r="I23">
        <v>100</v>
      </c>
      <c r="J23" t="s">
        <v>790</v>
      </c>
    </row>
    <row r="24" spans="1:10">
      <c r="A24" t="s">
        <v>797</v>
      </c>
      <c r="B24" t="s">
        <v>50</v>
      </c>
      <c r="C24">
        <v>2</v>
      </c>
      <c r="E24">
        <v>15877.081</v>
      </c>
      <c r="G24">
        <v>3.0000000000000001E-3</v>
      </c>
      <c r="H24">
        <v>0.33600000000000002</v>
      </c>
      <c r="I24">
        <v>100</v>
      </c>
      <c r="J24" t="s">
        <v>790</v>
      </c>
    </row>
    <row r="25" spans="1:10">
      <c r="A25" t="s">
        <v>797</v>
      </c>
      <c r="B25" t="s">
        <v>50</v>
      </c>
      <c r="C25">
        <v>3</v>
      </c>
      <c r="E25">
        <v>15975.630999999999</v>
      </c>
      <c r="G25">
        <v>3.0000000000000001E-3</v>
      </c>
      <c r="H25">
        <v>0.92100000000000004</v>
      </c>
      <c r="I25">
        <v>100</v>
      </c>
      <c r="J25" t="s">
        <v>790</v>
      </c>
    </row>
    <row r="26" spans="1:10">
      <c r="A26" t="s">
        <v>797</v>
      </c>
      <c r="B26" t="s">
        <v>50</v>
      </c>
      <c r="C26">
        <v>4</v>
      </c>
      <c r="E26">
        <v>16106.075999999999</v>
      </c>
      <c r="G26">
        <v>3.0000000000000001E-3</v>
      </c>
      <c r="H26">
        <v>1.1519999999999999</v>
      </c>
      <c r="I26">
        <v>100</v>
      </c>
      <c r="J26" t="s">
        <v>790</v>
      </c>
    </row>
    <row r="27" spans="1:10">
      <c r="A27" t="s">
        <v>797</v>
      </c>
      <c r="B27" t="s">
        <v>50</v>
      </c>
      <c r="C27">
        <v>5</v>
      </c>
      <c r="E27">
        <v>16267.48</v>
      </c>
      <c r="G27">
        <v>3.0000000000000001E-3</v>
      </c>
      <c r="H27">
        <v>1.258</v>
      </c>
      <c r="I27">
        <v>100</v>
      </c>
      <c r="J27" t="s">
        <v>790</v>
      </c>
    </row>
    <row r="28" spans="1:10">
      <c r="A28" t="s">
        <v>797</v>
      </c>
      <c r="B28" t="s">
        <v>50</v>
      </c>
      <c r="C28">
        <v>6</v>
      </c>
      <c r="E28">
        <v>16458.670999999998</v>
      </c>
      <c r="G28">
        <v>4.0000000000000001E-3</v>
      </c>
      <c r="H28">
        <v>1.333</v>
      </c>
      <c r="I28">
        <v>100</v>
      </c>
      <c r="J28" t="s">
        <v>790</v>
      </c>
    </row>
    <row r="29" spans="1:10">
      <c r="A29" t="s">
        <v>797</v>
      </c>
      <c r="B29" t="s">
        <v>46</v>
      </c>
      <c r="C29">
        <v>1</v>
      </c>
      <c r="E29">
        <v>16817.16</v>
      </c>
      <c r="G29">
        <v>3.0000000000000001E-3</v>
      </c>
      <c r="H29">
        <v>1E-3</v>
      </c>
      <c r="I29">
        <v>96</v>
      </c>
      <c r="J29" t="s">
        <v>790</v>
      </c>
    </row>
    <row r="30" spans="1:10">
      <c r="A30" t="s">
        <v>797</v>
      </c>
      <c r="B30" t="s">
        <v>46</v>
      </c>
      <c r="C30">
        <v>2</v>
      </c>
      <c r="E30">
        <v>16875.124</v>
      </c>
      <c r="G30">
        <v>3.0000000000000001E-3</v>
      </c>
      <c r="H30">
        <v>1.0009999999999999</v>
      </c>
      <c r="I30">
        <v>95</v>
      </c>
      <c r="J30" t="s">
        <v>790</v>
      </c>
    </row>
    <row r="31" spans="1:10">
      <c r="A31" t="s">
        <v>797</v>
      </c>
      <c r="B31" t="s">
        <v>46</v>
      </c>
      <c r="C31">
        <v>3</v>
      </c>
      <c r="E31">
        <v>16961.441999999999</v>
      </c>
      <c r="G31">
        <v>3.0000000000000001E-3</v>
      </c>
      <c r="H31">
        <v>1.2509999999999999</v>
      </c>
      <c r="I31">
        <v>97</v>
      </c>
      <c r="J31" t="s">
        <v>790</v>
      </c>
    </row>
    <row r="32" spans="1:10">
      <c r="A32" t="s">
        <v>797</v>
      </c>
      <c r="B32" t="s">
        <v>46</v>
      </c>
      <c r="C32">
        <v>4</v>
      </c>
      <c r="E32">
        <v>17075.258000000002</v>
      </c>
      <c r="G32">
        <v>3.0000000000000001E-3</v>
      </c>
      <c r="H32">
        <v>1.3460000000000001</v>
      </c>
      <c r="I32">
        <v>98</v>
      </c>
      <c r="J32" t="s">
        <v>790</v>
      </c>
    </row>
    <row r="33" spans="1:10">
      <c r="A33" t="s">
        <v>797</v>
      </c>
      <c r="B33" t="s">
        <v>46</v>
      </c>
      <c r="C33">
        <v>5</v>
      </c>
      <c r="E33">
        <v>17215.39</v>
      </c>
      <c r="G33">
        <v>3.0000000000000001E-3</v>
      </c>
      <c r="H33">
        <v>1.401</v>
      </c>
      <c r="I33">
        <v>99</v>
      </c>
      <c r="J33" t="s">
        <v>790</v>
      </c>
    </row>
    <row r="34" spans="1:10">
      <c r="A34" t="s">
        <v>798</v>
      </c>
      <c r="B34" t="s">
        <v>27</v>
      </c>
      <c r="C34">
        <v>1</v>
      </c>
      <c r="E34">
        <v>17369.528999999999</v>
      </c>
      <c r="G34">
        <v>3.0000000000000001E-3</v>
      </c>
      <c r="H34">
        <v>0.49</v>
      </c>
      <c r="I34" t="s">
        <v>799</v>
      </c>
      <c r="J34" t="s">
        <v>790</v>
      </c>
    </row>
    <row r="35" spans="1:10">
      <c r="A35" t="s">
        <v>798</v>
      </c>
      <c r="B35" t="s">
        <v>27</v>
      </c>
      <c r="C35">
        <v>2</v>
      </c>
      <c r="E35">
        <v>17423.856</v>
      </c>
      <c r="G35">
        <v>2E-3</v>
      </c>
      <c r="H35">
        <v>1.17</v>
      </c>
      <c r="I35" t="s">
        <v>799</v>
      </c>
      <c r="J35" t="s">
        <v>790</v>
      </c>
    </row>
    <row r="36" spans="1:10">
      <c r="A36" t="s">
        <v>798</v>
      </c>
      <c r="B36" t="s">
        <v>27</v>
      </c>
      <c r="C36">
        <v>3</v>
      </c>
      <c r="E36">
        <v>17540.187999999998</v>
      </c>
      <c r="G36">
        <v>2E-3</v>
      </c>
      <c r="H36">
        <v>1.34</v>
      </c>
      <c r="I36" t="s">
        <v>799</v>
      </c>
      <c r="J36" t="s">
        <v>790</v>
      </c>
    </row>
    <row r="37" spans="1:10">
      <c r="A37" t="s">
        <v>800</v>
      </c>
      <c r="B37" t="s">
        <v>24</v>
      </c>
      <c r="C37">
        <v>0</v>
      </c>
      <c r="E37">
        <v>17995.487000000001</v>
      </c>
      <c r="G37">
        <v>4.0000000000000001E-3</v>
      </c>
      <c r="I37" t="s">
        <v>801</v>
      </c>
      <c r="J37" t="s">
        <v>790</v>
      </c>
    </row>
    <row r="38" spans="1:10">
      <c r="A38" t="s">
        <v>800</v>
      </c>
      <c r="B38" t="s">
        <v>24</v>
      </c>
      <c r="C38">
        <v>1</v>
      </c>
      <c r="E38">
        <v>18061.386999999999</v>
      </c>
      <c r="G38">
        <v>2E-3</v>
      </c>
      <c r="I38" t="s">
        <v>802</v>
      </c>
      <c r="J38" t="s">
        <v>790</v>
      </c>
    </row>
    <row r="39" spans="1:10">
      <c r="A39" t="s">
        <v>800</v>
      </c>
      <c r="B39" t="s">
        <v>24</v>
      </c>
      <c r="C39">
        <v>2</v>
      </c>
      <c r="E39">
        <v>18145.286</v>
      </c>
      <c r="G39">
        <v>2E-3</v>
      </c>
      <c r="I39" t="s">
        <v>802</v>
      </c>
      <c r="J39" t="s">
        <v>790</v>
      </c>
    </row>
    <row r="40" spans="1:10">
      <c r="A40" t="s">
        <v>803</v>
      </c>
      <c r="B40" t="s">
        <v>29</v>
      </c>
      <c r="C40">
        <v>4</v>
      </c>
      <c r="E40">
        <v>18037.213</v>
      </c>
      <c r="G40">
        <v>3.0000000000000001E-3</v>
      </c>
      <c r="H40">
        <v>0.8</v>
      </c>
      <c r="I40" t="s">
        <v>804</v>
      </c>
      <c r="J40" t="s">
        <v>790</v>
      </c>
    </row>
    <row r="41" spans="1:10">
      <c r="A41" t="s">
        <v>803</v>
      </c>
      <c r="B41" t="s">
        <v>29</v>
      </c>
      <c r="C41">
        <v>5</v>
      </c>
      <c r="E41">
        <v>18141.264999999999</v>
      </c>
      <c r="G41">
        <v>4.0000000000000001E-3</v>
      </c>
      <c r="H41">
        <v>1.02</v>
      </c>
      <c r="I41">
        <v>100</v>
      </c>
      <c r="J41" t="s">
        <v>790</v>
      </c>
    </row>
    <row r="42" spans="1:10">
      <c r="A42" t="s">
        <v>803</v>
      </c>
      <c r="B42" t="s">
        <v>29</v>
      </c>
      <c r="C42">
        <v>6</v>
      </c>
      <c r="E42">
        <v>18192.57</v>
      </c>
      <c r="G42">
        <v>4.0000000000000001E-3</v>
      </c>
      <c r="H42">
        <v>1.17</v>
      </c>
      <c r="I42">
        <v>100</v>
      </c>
      <c r="J42" t="s">
        <v>790</v>
      </c>
    </row>
    <row r="43" spans="1:10">
      <c r="A43" t="s">
        <v>796</v>
      </c>
      <c r="B43" t="s">
        <v>38</v>
      </c>
      <c r="C43">
        <v>4</v>
      </c>
      <c r="E43">
        <v>18287.554</v>
      </c>
      <c r="G43">
        <v>3.0000000000000001E-3</v>
      </c>
      <c r="H43">
        <v>1.02</v>
      </c>
      <c r="I43" t="s">
        <v>805</v>
      </c>
      <c r="J43" t="s">
        <v>790</v>
      </c>
    </row>
    <row r="44" spans="1:10">
      <c r="A44" t="s">
        <v>797</v>
      </c>
      <c r="B44" t="s">
        <v>45</v>
      </c>
      <c r="C44">
        <v>0</v>
      </c>
      <c r="E44">
        <v>18462.722000000002</v>
      </c>
      <c r="G44">
        <v>7.0000000000000001E-3</v>
      </c>
      <c r="I44">
        <v>95</v>
      </c>
      <c r="J44" t="s">
        <v>790</v>
      </c>
    </row>
    <row r="45" spans="1:10">
      <c r="A45" t="s">
        <v>797</v>
      </c>
      <c r="B45" t="s">
        <v>45</v>
      </c>
      <c r="C45">
        <v>1</v>
      </c>
      <c r="E45">
        <v>18482.774000000001</v>
      </c>
      <c r="G45">
        <v>4.0000000000000001E-3</v>
      </c>
      <c r="H45">
        <v>1.4970000000000001</v>
      </c>
      <c r="I45">
        <v>95</v>
      </c>
      <c r="J45" t="s">
        <v>790</v>
      </c>
    </row>
    <row r="46" spans="1:10">
      <c r="A46" t="s">
        <v>797</v>
      </c>
      <c r="B46" t="s">
        <v>45</v>
      </c>
      <c r="C46">
        <v>2</v>
      </c>
      <c r="E46">
        <v>18525.059000000001</v>
      </c>
      <c r="G46">
        <v>3.0000000000000001E-3</v>
      </c>
      <c r="H46">
        <v>1.496</v>
      </c>
      <c r="I46">
        <v>94</v>
      </c>
      <c r="J46" t="s">
        <v>790</v>
      </c>
    </row>
    <row r="47" spans="1:10">
      <c r="A47" t="s">
        <v>797</v>
      </c>
      <c r="B47" t="s">
        <v>45</v>
      </c>
      <c r="C47">
        <v>3</v>
      </c>
      <c r="E47">
        <v>18593.947</v>
      </c>
      <c r="G47">
        <v>3.0000000000000001E-3</v>
      </c>
      <c r="H47">
        <v>1.496</v>
      </c>
      <c r="I47">
        <v>95</v>
      </c>
      <c r="J47" t="s">
        <v>790</v>
      </c>
    </row>
    <row r="48" spans="1:10">
      <c r="A48" t="s">
        <v>797</v>
      </c>
      <c r="B48" t="s">
        <v>45</v>
      </c>
      <c r="C48">
        <v>4</v>
      </c>
      <c r="E48">
        <v>18695.133999999998</v>
      </c>
      <c r="G48">
        <v>3.0000000000000001E-3</v>
      </c>
      <c r="H48">
        <v>1.4950000000000001</v>
      </c>
      <c r="I48">
        <v>95</v>
      </c>
      <c r="J48" t="s">
        <v>790</v>
      </c>
    </row>
    <row r="49" spans="1:10">
      <c r="A49" t="s">
        <v>795</v>
      </c>
      <c r="B49" t="s">
        <v>33</v>
      </c>
      <c r="C49">
        <v>0</v>
      </c>
      <c r="E49">
        <v>18818.098999999998</v>
      </c>
      <c r="G49">
        <v>4.0000000000000001E-3</v>
      </c>
      <c r="I49" t="s">
        <v>806</v>
      </c>
      <c r="J49" t="s">
        <v>790</v>
      </c>
    </row>
    <row r="50" spans="1:10">
      <c r="A50" t="s">
        <v>795</v>
      </c>
      <c r="B50" t="s">
        <v>33</v>
      </c>
      <c r="C50">
        <v>1</v>
      </c>
      <c r="E50">
        <v>18825.781999999999</v>
      </c>
      <c r="G50">
        <v>3.0000000000000001E-3</v>
      </c>
      <c r="I50">
        <v>94</v>
      </c>
      <c r="J50" t="s">
        <v>790</v>
      </c>
    </row>
    <row r="51" spans="1:10">
      <c r="A51" t="s">
        <v>795</v>
      </c>
      <c r="B51" t="s">
        <v>33</v>
      </c>
      <c r="C51">
        <v>2</v>
      </c>
      <c r="E51">
        <v>18911.394</v>
      </c>
      <c r="G51">
        <v>3.0000000000000001E-3</v>
      </c>
      <c r="H51">
        <v>1.54</v>
      </c>
      <c r="I51">
        <v>98</v>
      </c>
      <c r="J51" t="s">
        <v>790</v>
      </c>
    </row>
    <row r="52" spans="1:10">
      <c r="A52" t="s">
        <v>797</v>
      </c>
      <c r="B52" t="s">
        <v>54</v>
      </c>
      <c r="C52">
        <v>2</v>
      </c>
      <c r="E52">
        <v>19322.984</v>
      </c>
      <c r="G52">
        <v>3.0000000000000001E-3</v>
      </c>
      <c r="H52">
        <v>0.66900000000000004</v>
      </c>
      <c r="I52" t="s">
        <v>807</v>
      </c>
      <c r="J52" t="s">
        <v>790</v>
      </c>
    </row>
    <row r="53" spans="1:10">
      <c r="A53" t="s">
        <v>797</v>
      </c>
      <c r="B53" t="s">
        <v>54</v>
      </c>
      <c r="C53">
        <v>3</v>
      </c>
      <c r="E53">
        <v>19421.580000000002</v>
      </c>
      <c r="G53">
        <v>3.0000000000000001E-3</v>
      </c>
      <c r="H53">
        <v>1.087</v>
      </c>
      <c r="I53" t="s">
        <v>808</v>
      </c>
      <c r="J53" t="s">
        <v>790</v>
      </c>
    </row>
    <row r="54" spans="1:10">
      <c r="A54" t="s">
        <v>797</v>
      </c>
      <c r="B54" t="s">
        <v>54</v>
      </c>
      <c r="C54">
        <v>4</v>
      </c>
      <c r="E54">
        <v>19573.973999999998</v>
      </c>
      <c r="G54">
        <v>3.0000000000000001E-3</v>
      </c>
      <c r="H54">
        <v>1.252</v>
      </c>
      <c r="I54" t="s">
        <v>808</v>
      </c>
      <c r="J54" t="s">
        <v>790</v>
      </c>
    </row>
    <row r="55" spans="1:10">
      <c r="A55" t="s">
        <v>797</v>
      </c>
      <c r="B55" t="s">
        <v>55</v>
      </c>
      <c r="C55">
        <v>1</v>
      </c>
      <c r="E55">
        <v>19937.855</v>
      </c>
      <c r="G55">
        <v>5.0000000000000001E-3</v>
      </c>
      <c r="H55">
        <v>0.502</v>
      </c>
      <c r="I55" t="s">
        <v>809</v>
      </c>
      <c r="J55" t="s">
        <v>790</v>
      </c>
    </row>
    <row r="56" spans="1:10">
      <c r="A56" t="s">
        <v>797</v>
      </c>
      <c r="B56" t="s">
        <v>55</v>
      </c>
      <c r="C56">
        <v>2</v>
      </c>
      <c r="E56">
        <v>20006.039000000001</v>
      </c>
      <c r="G56">
        <v>4.0000000000000001E-3</v>
      </c>
      <c r="H56">
        <v>1.1679999999999999</v>
      </c>
      <c r="I56" t="s">
        <v>810</v>
      </c>
      <c r="J56" t="s">
        <v>790</v>
      </c>
    </row>
    <row r="57" spans="1:10">
      <c r="A57" t="s">
        <v>797</v>
      </c>
      <c r="B57" t="s">
        <v>55</v>
      </c>
      <c r="C57">
        <v>3</v>
      </c>
      <c r="E57">
        <v>20126.062000000002</v>
      </c>
      <c r="G57">
        <v>3.0000000000000001E-3</v>
      </c>
      <c r="H57">
        <v>1.3340000000000001</v>
      </c>
      <c r="I57" t="s">
        <v>809</v>
      </c>
      <c r="J57" t="s">
        <v>790</v>
      </c>
    </row>
    <row r="58" spans="1:10">
      <c r="A58" t="s">
        <v>800</v>
      </c>
      <c r="B58" t="s">
        <v>32</v>
      </c>
      <c r="C58">
        <v>1</v>
      </c>
      <c r="E58">
        <v>20062.885999999999</v>
      </c>
      <c r="G58">
        <v>4.0000000000000001E-3</v>
      </c>
      <c r="H58">
        <v>1.03</v>
      </c>
      <c r="I58">
        <v>98</v>
      </c>
      <c r="J58" t="s">
        <v>790</v>
      </c>
    </row>
    <row r="59" spans="1:10">
      <c r="A59" t="s">
        <v>798</v>
      </c>
      <c r="B59" t="s">
        <v>39</v>
      </c>
      <c r="C59">
        <v>2</v>
      </c>
      <c r="E59">
        <v>20209.447</v>
      </c>
      <c r="G59">
        <v>3.0000000000000001E-3</v>
      </c>
      <c r="H59">
        <v>1.01</v>
      </c>
      <c r="I59" t="s">
        <v>811</v>
      </c>
      <c r="J59" t="s">
        <v>790</v>
      </c>
    </row>
    <row r="60" spans="1:10">
      <c r="A60" t="s">
        <v>803</v>
      </c>
      <c r="B60" t="s">
        <v>31</v>
      </c>
      <c r="C60">
        <v>5</v>
      </c>
      <c r="E60">
        <v>20795.602999999999</v>
      </c>
      <c r="G60">
        <v>5.0000000000000001E-3</v>
      </c>
      <c r="H60">
        <v>1.01</v>
      </c>
      <c r="I60">
        <v>100</v>
      </c>
      <c r="J60" t="s">
        <v>790</v>
      </c>
    </row>
    <row r="61" spans="1:10">
      <c r="A61" t="s">
        <v>797</v>
      </c>
      <c r="B61" t="s">
        <v>49</v>
      </c>
      <c r="C61">
        <v>3</v>
      </c>
      <c r="E61">
        <v>21469.488000000001</v>
      </c>
      <c r="G61">
        <v>3.0000000000000001E-3</v>
      </c>
      <c r="H61">
        <v>0.75800000000000001</v>
      </c>
      <c r="I61">
        <v>96</v>
      </c>
      <c r="J61" t="s">
        <v>790</v>
      </c>
    </row>
    <row r="62" spans="1:10">
      <c r="A62" t="s">
        <v>797</v>
      </c>
      <c r="B62" t="s">
        <v>49</v>
      </c>
      <c r="C62">
        <v>4</v>
      </c>
      <c r="E62">
        <v>21588.494999999999</v>
      </c>
      <c r="G62">
        <v>3.0000000000000001E-3</v>
      </c>
      <c r="H62">
        <v>1.052</v>
      </c>
      <c r="I62">
        <v>95</v>
      </c>
      <c r="J62" t="s">
        <v>790</v>
      </c>
    </row>
    <row r="63" spans="1:10">
      <c r="A63" t="s">
        <v>797</v>
      </c>
      <c r="B63" t="s">
        <v>49</v>
      </c>
      <c r="C63">
        <v>5</v>
      </c>
      <c r="E63">
        <v>21739.706999999999</v>
      </c>
      <c r="G63">
        <v>3.0000000000000001E-3</v>
      </c>
      <c r="H63">
        <v>1.206</v>
      </c>
      <c r="I63">
        <v>95</v>
      </c>
      <c r="J63" t="s">
        <v>790</v>
      </c>
    </row>
    <row r="64" spans="1:10">
      <c r="A64" t="s">
        <v>797</v>
      </c>
      <c r="B64" t="s">
        <v>85</v>
      </c>
      <c r="C64">
        <v>2</v>
      </c>
      <c r="E64">
        <v>22081.188999999998</v>
      </c>
      <c r="G64">
        <v>4.0000000000000001E-3</v>
      </c>
      <c r="H64">
        <v>1</v>
      </c>
      <c r="I64" t="s">
        <v>812</v>
      </c>
      <c r="J64" t="s">
        <v>790</v>
      </c>
    </row>
    <row r="65" spans="1:10">
      <c r="A65" t="s">
        <v>797</v>
      </c>
      <c r="B65" t="s">
        <v>76</v>
      </c>
      <c r="C65">
        <v>3</v>
      </c>
      <c r="E65">
        <v>22404.739000000001</v>
      </c>
      <c r="G65">
        <v>3.0000000000000001E-3</v>
      </c>
      <c r="H65">
        <v>0.996</v>
      </c>
      <c r="I65">
        <v>98</v>
      </c>
      <c r="J65" t="s">
        <v>790</v>
      </c>
    </row>
    <row r="66" spans="1:10">
      <c r="A66" t="s">
        <v>797</v>
      </c>
      <c r="B66" t="s">
        <v>69</v>
      </c>
      <c r="C66">
        <v>4</v>
      </c>
      <c r="E66">
        <v>24694.892</v>
      </c>
      <c r="G66">
        <v>3.0000000000000001E-3</v>
      </c>
      <c r="H66">
        <v>1.006</v>
      </c>
      <c r="I66">
        <v>96</v>
      </c>
      <c r="J66" t="s">
        <v>790</v>
      </c>
    </row>
    <row r="67" spans="1:10">
      <c r="A67" t="s">
        <v>813</v>
      </c>
      <c r="B67" t="s">
        <v>67</v>
      </c>
      <c r="C67">
        <v>1</v>
      </c>
      <c r="E67">
        <v>24921.116999999998</v>
      </c>
      <c r="G67">
        <v>4.0000000000000001E-3</v>
      </c>
      <c r="H67">
        <v>1.982</v>
      </c>
      <c r="I67" t="s">
        <v>814</v>
      </c>
      <c r="J67" t="s">
        <v>790</v>
      </c>
    </row>
    <row r="68" spans="1:10">
      <c r="A68" t="s">
        <v>815</v>
      </c>
      <c r="B68" t="s">
        <v>254</v>
      </c>
      <c r="C68">
        <v>4</v>
      </c>
      <c r="E68">
        <v>25037.404999999999</v>
      </c>
      <c r="G68">
        <v>5.0000000000000001E-3</v>
      </c>
      <c r="I68" t="s">
        <v>816</v>
      </c>
      <c r="J68" t="s">
        <v>790</v>
      </c>
    </row>
    <row r="69" spans="1:10">
      <c r="A69" t="s">
        <v>815</v>
      </c>
      <c r="B69" t="s">
        <v>254</v>
      </c>
      <c r="C69">
        <v>3</v>
      </c>
      <c r="E69">
        <v>25068.842000000001</v>
      </c>
      <c r="G69">
        <v>3.0000000000000001E-3</v>
      </c>
      <c r="I69" t="s">
        <v>816</v>
      </c>
      <c r="J69" t="s">
        <v>790</v>
      </c>
    </row>
    <row r="70" spans="1:10">
      <c r="A70" t="s">
        <v>815</v>
      </c>
      <c r="B70" t="s">
        <v>254</v>
      </c>
      <c r="C70">
        <v>2</v>
      </c>
      <c r="E70">
        <v>25092.957999999999</v>
      </c>
      <c r="G70">
        <v>4.0000000000000001E-3</v>
      </c>
      <c r="I70" t="s">
        <v>816</v>
      </c>
      <c r="J70" t="s">
        <v>790</v>
      </c>
    </row>
    <row r="71" spans="1:10">
      <c r="A71" t="s">
        <v>813</v>
      </c>
      <c r="B71" t="s">
        <v>57</v>
      </c>
      <c r="C71">
        <v>2</v>
      </c>
      <c r="E71">
        <v>25102.875</v>
      </c>
      <c r="G71">
        <v>3.0000000000000001E-3</v>
      </c>
      <c r="H71">
        <v>1.8520000000000001</v>
      </c>
      <c r="I71">
        <v>95</v>
      </c>
      <c r="J71" t="s">
        <v>790</v>
      </c>
    </row>
    <row r="72" spans="1:10">
      <c r="A72" t="s">
        <v>817</v>
      </c>
      <c r="B72" t="s">
        <v>65</v>
      </c>
      <c r="C72">
        <v>2</v>
      </c>
      <c r="E72">
        <v>25107.411</v>
      </c>
      <c r="G72">
        <v>3.0000000000000001E-3</v>
      </c>
      <c r="H72">
        <v>0.67</v>
      </c>
      <c r="I72" t="s">
        <v>818</v>
      </c>
      <c r="J72" t="s">
        <v>790</v>
      </c>
    </row>
    <row r="73" spans="1:10">
      <c r="A73" t="s">
        <v>817</v>
      </c>
      <c r="B73" t="s">
        <v>65</v>
      </c>
      <c r="C73">
        <v>3</v>
      </c>
      <c r="E73">
        <v>25227.222000000002</v>
      </c>
      <c r="G73">
        <v>3.0000000000000001E-3</v>
      </c>
      <c r="H73">
        <v>1.081</v>
      </c>
      <c r="I73" t="s">
        <v>819</v>
      </c>
      <c r="J73" t="s">
        <v>790</v>
      </c>
    </row>
    <row r="74" spans="1:10">
      <c r="A74" t="s">
        <v>817</v>
      </c>
      <c r="B74" t="s">
        <v>65</v>
      </c>
      <c r="C74">
        <v>4</v>
      </c>
      <c r="E74">
        <v>25388.330999999998</v>
      </c>
      <c r="G74">
        <v>3.0000000000000001E-3</v>
      </c>
      <c r="H74">
        <v>1.24</v>
      </c>
      <c r="I74" t="s">
        <v>820</v>
      </c>
      <c r="J74" t="s">
        <v>790</v>
      </c>
    </row>
    <row r="75" spans="1:10">
      <c r="A75" t="s">
        <v>821</v>
      </c>
      <c r="B75" t="s">
        <v>62</v>
      </c>
      <c r="C75">
        <v>1</v>
      </c>
      <c r="E75">
        <v>25317.813999999998</v>
      </c>
      <c r="G75">
        <v>3.0000000000000001E-3</v>
      </c>
      <c r="H75">
        <v>0.54200000000000004</v>
      </c>
      <c r="I75" t="s">
        <v>822</v>
      </c>
      <c r="J75" t="s">
        <v>790</v>
      </c>
    </row>
    <row r="76" spans="1:10">
      <c r="A76" t="s">
        <v>821</v>
      </c>
      <c r="B76" t="s">
        <v>62</v>
      </c>
      <c r="C76">
        <v>2</v>
      </c>
      <c r="E76">
        <v>25438.907999999999</v>
      </c>
      <c r="G76">
        <v>3.0000000000000001E-3</v>
      </c>
      <c r="H76">
        <v>1.2829999999999999</v>
      </c>
      <c r="I76" t="s">
        <v>823</v>
      </c>
      <c r="J76" t="s">
        <v>790</v>
      </c>
    </row>
    <row r="77" spans="1:10">
      <c r="A77" t="s">
        <v>821</v>
      </c>
      <c r="B77" t="s">
        <v>62</v>
      </c>
      <c r="C77">
        <v>3</v>
      </c>
      <c r="E77">
        <v>25643.701000000001</v>
      </c>
      <c r="G77">
        <v>3.0000000000000001E-3</v>
      </c>
      <c r="H77">
        <v>1.3620000000000001</v>
      </c>
      <c r="I77" t="s">
        <v>824</v>
      </c>
      <c r="J77" t="s">
        <v>790</v>
      </c>
    </row>
    <row r="78" spans="1:10">
      <c r="A78" t="s">
        <v>825</v>
      </c>
      <c r="B78" t="s">
        <v>282</v>
      </c>
      <c r="C78">
        <v>2</v>
      </c>
      <c r="E78">
        <v>25493.733</v>
      </c>
      <c r="G78">
        <v>3.0000000000000001E-3</v>
      </c>
      <c r="H78">
        <v>1.6519999999999999</v>
      </c>
      <c r="I78" t="s">
        <v>826</v>
      </c>
      <c r="J78" t="s">
        <v>790</v>
      </c>
    </row>
    <row r="79" spans="1:10">
      <c r="A79" t="s">
        <v>825</v>
      </c>
      <c r="B79" t="s">
        <v>282</v>
      </c>
      <c r="C79">
        <v>1</v>
      </c>
      <c r="E79">
        <v>25537.286</v>
      </c>
      <c r="G79">
        <v>4.0000000000000001E-3</v>
      </c>
      <c r="H79">
        <v>1.478</v>
      </c>
      <c r="I79" t="s">
        <v>827</v>
      </c>
      <c r="J79" t="s">
        <v>790</v>
      </c>
    </row>
    <row r="80" spans="1:10">
      <c r="A80" t="s">
        <v>825</v>
      </c>
      <c r="B80" t="s">
        <v>282</v>
      </c>
      <c r="C80">
        <v>0</v>
      </c>
      <c r="E80">
        <v>25574.907999999999</v>
      </c>
      <c r="G80">
        <v>5.0000000000000001E-3</v>
      </c>
      <c r="I80" t="s">
        <v>828</v>
      </c>
      <c r="J80" t="s">
        <v>790</v>
      </c>
    </row>
    <row r="81" spans="1:10">
      <c r="A81" t="s">
        <v>813</v>
      </c>
      <c r="B81" t="s">
        <v>271</v>
      </c>
      <c r="C81">
        <v>0</v>
      </c>
      <c r="E81">
        <v>25612.387999999999</v>
      </c>
      <c r="G81">
        <v>6.0000000000000001E-3</v>
      </c>
      <c r="I81" t="s">
        <v>829</v>
      </c>
      <c r="J81" t="s">
        <v>790</v>
      </c>
    </row>
    <row r="82" spans="1:10">
      <c r="A82" t="s">
        <v>813</v>
      </c>
      <c r="B82" t="s">
        <v>271</v>
      </c>
      <c r="C82">
        <v>1</v>
      </c>
      <c r="E82">
        <v>25635.724999999999</v>
      </c>
      <c r="G82">
        <v>4.0000000000000001E-3</v>
      </c>
      <c r="H82">
        <v>1.4370000000000001</v>
      </c>
      <c r="I82" t="s">
        <v>830</v>
      </c>
      <c r="J82" t="s">
        <v>790</v>
      </c>
    </row>
    <row r="83" spans="1:10">
      <c r="A83" t="s">
        <v>813</v>
      </c>
      <c r="B83" t="s">
        <v>271</v>
      </c>
      <c r="C83">
        <v>2</v>
      </c>
      <c r="E83">
        <v>25699.987000000001</v>
      </c>
      <c r="G83">
        <v>5.0000000000000001E-3</v>
      </c>
      <c r="H83">
        <v>1.375</v>
      </c>
      <c r="I83" t="s">
        <v>831</v>
      </c>
      <c r="J83" t="s">
        <v>790</v>
      </c>
    </row>
    <row r="84" spans="1:10">
      <c r="A84" t="s">
        <v>813</v>
      </c>
      <c r="B84" t="s">
        <v>271</v>
      </c>
      <c r="C84">
        <v>3</v>
      </c>
      <c r="E84">
        <v>25797.595000000001</v>
      </c>
      <c r="G84">
        <v>4.0000000000000001E-3</v>
      </c>
      <c r="H84">
        <v>1.452</v>
      </c>
      <c r="I84" t="s">
        <v>832</v>
      </c>
      <c r="J84" t="s">
        <v>790</v>
      </c>
    </row>
    <row r="85" spans="1:10">
      <c r="A85" t="s">
        <v>813</v>
      </c>
      <c r="B85" t="s">
        <v>271</v>
      </c>
      <c r="C85">
        <v>4</v>
      </c>
      <c r="E85">
        <v>25926.771000000001</v>
      </c>
      <c r="G85">
        <v>5.0000000000000001E-3</v>
      </c>
      <c r="H85">
        <v>1.498</v>
      </c>
      <c r="I85" t="s">
        <v>833</v>
      </c>
      <c r="J85" t="s">
        <v>790</v>
      </c>
    </row>
    <row r="86" spans="1:10">
      <c r="A86" t="s">
        <v>821</v>
      </c>
      <c r="B86" t="s">
        <v>834</v>
      </c>
      <c r="C86">
        <v>2</v>
      </c>
      <c r="E86">
        <v>26494.33</v>
      </c>
      <c r="G86">
        <v>4.0000000000000001E-3</v>
      </c>
      <c r="H86">
        <v>0.33700000000000002</v>
      </c>
      <c r="I86">
        <v>96</v>
      </c>
      <c r="J86" t="s">
        <v>790</v>
      </c>
    </row>
    <row r="87" spans="1:10">
      <c r="A87" t="s">
        <v>821</v>
      </c>
      <c r="B87" t="s">
        <v>834</v>
      </c>
      <c r="C87">
        <v>3</v>
      </c>
      <c r="E87">
        <v>26564.400000000001</v>
      </c>
      <c r="G87">
        <v>4.0000000000000001E-3</v>
      </c>
      <c r="H87">
        <v>0.91700000000000004</v>
      </c>
      <c r="I87">
        <v>96</v>
      </c>
      <c r="J87" t="s">
        <v>790</v>
      </c>
    </row>
    <row r="88" spans="1:10">
      <c r="A88" t="s">
        <v>821</v>
      </c>
      <c r="B88" t="s">
        <v>834</v>
      </c>
      <c r="C88">
        <v>4</v>
      </c>
      <c r="E88">
        <v>26657.416000000001</v>
      </c>
      <c r="G88">
        <v>4.0000000000000001E-3</v>
      </c>
      <c r="H88">
        <v>1.151</v>
      </c>
      <c r="I88">
        <v>98</v>
      </c>
      <c r="J88" t="s">
        <v>790</v>
      </c>
    </row>
    <row r="89" spans="1:10">
      <c r="A89" t="s">
        <v>821</v>
      </c>
      <c r="B89" t="s">
        <v>834</v>
      </c>
      <c r="C89">
        <v>5</v>
      </c>
      <c r="E89">
        <v>26772.968000000001</v>
      </c>
      <c r="G89">
        <v>4.0000000000000001E-3</v>
      </c>
      <c r="H89">
        <v>1.2669999999999999</v>
      </c>
      <c r="I89">
        <v>100</v>
      </c>
      <c r="J89" t="s">
        <v>790</v>
      </c>
    </row>
    <row r="90" spans="1:10">
      <c r="A90" t="s">
        <v>821</v>
      </c>
      <c r="B90" t="s">
        <v>834</v>
      </c>
      <c r="C90">
        <v>6</v>
      </c>
      <c r="E90">
        <v>26910.708999999999</v>
      </c>
      <c r="G90">
        <v>5.0000000000000001E-3</v>
      </c>
      <c r="H90">
        <v>1.333</v>
      </c>
      <c r="I90">
        <v>100</v>
      </c>
      <c r="J90" t="s">
        <v>790</v>
      </c>
    </row>
    <row r="91" spans="1:10">
      <c r="A91" t="s">
        <v>825</v>
      </c>
      <c r="B91" t="s">
        <v>78</v>
      </c>
      <c r="C91">
        <v>2</v>
      </c>
      <c r="E91">
        <v>26803.42</v>
      </c>
      <c r="G91">
        <v>3.0000000000000001E-3</v>
      </c>
      <c r="H91">
        <v>0.67500000000000004</v>
      </c>
      <c r="I91" t="s">
        <v>835</v>
      </c>
      <c r="J91" t="s">
        <v>790</v>
      </c>
    </row>
    <row r="92" spans="1:10">
      <c r="A92" t="s">
        <v>825</v>
      </c>
      <c r="B92" t="s">
        <v>78</v>
      </c>
      <c r="C92">
        <v>3</v>
      </c>
      <c r="E92">
        <v>26892.936000000002</v>
      </c>
      <c r="G92">
        <v>3.0000000000000001E-3</v>
      </c>
      <c r="H92">
        <v>1.0920000000000001</v>
      </c>
      <c r="I92" t="s">
        <v>836</v>
      </c>
      <c r="J92" t="s">
        <v>790</v>
      </c>
    </row>
    <row r="93" spans="1:10">
      <c r="A93" t="s">
        <v>825</v>
      </c>
      <c r="B93" t="s">
        <v>78</v>
      </c>
      <c r="C93">
        <v>4</v>
      </c>
      <c r="E93">
        <v>27025.659</v>
      </c>
      <c r="G93">
        <v>3.0000000000000001E-3</v>
      </c>
      <c r="H93">
        <v>1.254</v>
      </c>
      <c r="I93" t="s">
        <v>837</v>
      </c>
      <c r="J93" t="s">
        <v>790</v>
      </c>
    </row>
    <row r="94" spans="1:10">
      <c r="A94" t="s">
        <v>825</v>
      </c>
      <c r="B94" t="s">
        <v>75</v>
      </c>
      <c r="C94">
        <v>1</v>
      </c>
      <c r="E94">
        <v>27355.061000000002</v>
      </c>
      <c r="G94">
        <v>4.0000000000000001E-3</v>
      </c>
      <c r="H94">
        <v>0.53100000000000003</v>
      </c>
      <c r="I94" t="s">
        <v>838</v>
      </c>
      <c r="J94" t="s">
        <v>790</v>
      </c>
    </row>
    <row r="95" spans="1:10">
      <c r="A95" t="s">
        <v>825</v>
      </c>
      <c r="B95" t="s">
        <v>75</v>
      </c>
      <c r="C95">
        <v>2</v>
      </c>
      <c r="E95">
        <v>27418.028999999999</v>
      </c>
      <c r="G95">
        <v>3.0000000000000001E-3</v>
      </c>
      <c r="H95">
        <v>1.2370000000000001</v>
      </c>
      <c r="I95" t="s">
        <v>839</v>
      </c>
      <c r="J95" t="s">
        <v>790</v>
      </c>
    </row>
    <row r="96" spans="1:10">
      <c r="A96" t="s">
        <v>825</v>
      </c>
      <c r="B96" t="s">
        <v>75</v>
      </c>
      <c r="C96">
        <v>3</v>
      </c>
      <c r="E96">
        <v>27480.065999999999</v>
      </c>
      <c r="G96">
        <v>3.0000000000000001E-3</v>
      </c>
      <c r="H96">
        <v>1.4019999999999999</v>
      </c>
      <c r="I96" t="s">
        <v>840</v>
      </c>
      <c r="J96" t="s">
        <v>790</v>
      </c>
    </row>
    <row r="97" spans="1:10">
      <c r="A97" t="s">
        <v>815</v>
      </c>
      <c r="B97" t="s">
        <v>385</v>
      </c>
      <c r="C97">
        <v>3</v>
      </c>
      <c r="E97">
        <v>27498.171999999999</v>
      </c>
      <c r="G97">
        <v>5.0000000000000001E-3</v>
      </c>
      <c r="I97" t="s">
        <v>816</v>
      </c>
      <c r="J97" t="s">
        <v>790</v>
      </c>
    </row>
    <row r="98" spans="1:10">
      <c r="A98" t="s">
        <v>817</v>
      </c>
      <c r="B98" t="s">
        <v>70</v>
      </c>
      <c r="C98">
        <v>3</v>
      </c>
      <c r="E98">
        <v>27498.982</v>
      </c>
      <c r="G98">
        <v>4.0000000000000001E-3</v>
      </c>
      <c r="H98">
        <v>0.754</v>
      </c>
      <c r="I98" t="s">
        <v>841</v>
      </c>
      <c r="J98" t="s">
        <v>790</v>
      </c>
    </row>
    <row r="99" spans="1:10">
      <c r="A99" t="s">
        <v>817</v>
      </c>
      <c r="B99" t="s">
        <v>70</v>
      </c>
      <c r="C99">
        <v>4</v>
      </c>
      <c r="E99">
        <v>27614.679</v>
      </c>
      <c r="G99">
        <v>3.0000000000000001E-3</v>
      </c>
      <c r="H99">
        <v>1.054</v>
      </c>
      <c r="I99" t="s">
        <v>842</v>
      </c>
      <c r="J99" t="s">
        <v>790</v>
      </c>
    </row>
    <row r="100" spans="1:10">
      <c r="A100" t="s">
        <v>817</v>
      </c>
      <c r="B100" t="s">
        <v>70</v>
      </c>
      <c r="C100">
        <v>5</v>
      </c>
      <c r="E100">
        <v>27750.134999999998</v>
      </c>
      <c r="G100">
        <v>3.0000000000000001E-3</v>
      </c>
      <c r="H100">
        <v>1.206</v>
      </c>
      <c r="I100" t="s">
        <v>842</v>
      </c>
      <c r="J100" t="s">
        <v>790</v>
      </c>
    </row>
    <row r="101" spans="1:10">
      <c r="A101" t="s">
        <v>813</v>
      </c>
      <c r="B101" t="s">
        <v>59</v>
      </c>
      <c r="C101">
        <v>1</v>
      </c>
      <c r="E101">
        <v>27665.401000000002</v>
      </c>
      <c r="G101">
        <v>6.0000000000000001E-3</v>
      </c>
      <c r="H101">
        <v>2.46</v>
      </c>
      <c r="I101">
        <v>95</v>
      </c>
      <c r="J101" t="s">
        <v>790</v>
      </c>
    </row>
    <row r="102" spans="1:10">
      <c r="A102" t="s">
        <v>813</v>
      </c>
      <c r="B102" t="s">
        <v>59</v>
      </c>
      <c r="C102">
        <v>2</v>
      </c>
      <c r="E102">
        <v>27740.238000000001</v>
      </c>
      <c r="G102">
        <v>5.0000000000000001E-3</v>
      </c>
      <c r="H102">
        <v>1.7430000000000001</v>
      </c>
      <c r="I102">
        <v>93</v>
      </c>
      <c r="J102" t="s">
        <v>790</v>
      </c>
    </row>
    <row r="103" spans="1:10">
      <c r="A103" t="s">
        <v>813</v>
      </c>
      <c r="B103" t="s">
        <v>59</v>
      </c>
      <c r="C103">
        <v>3</v>
      </c>
      <c r="E103">
        <v>27887.803</v>
      </c>
      <c r="G103">
        <v>4.0000000000000001E-3</v>
      </c>
      <c r="H103">
        <v>1.5740000000000001</v>
      </c>
      <c r="I103" t="s">
        <v>843</v>
      </c>
      <c r="J103" t="s">
        <v>790</v>
      </c>
    </row>
    <row r="104" spans="1:10">
      <c r="A104" t="s">
        <v>844</v>
      </c>
      <c r="B104" t="s">
        <v>98</v>
      </c>
      <c r="C104">
        <v>2</v>
      </c>
      <c r="E104">
        <v>27907.012999999999</v>
      </c>
      <c r="G104">
        <v>4.0000000000000001E-3</v>
      </c>
      <c r="H104">
        <v>1.0029999999999999</v>
      </c>
      <c r="I104" t="s">
        <v>845</v>
      </c>
      <c r="J104" t="s">
        <v>790</v>
      </c>
    </row>
    <row r="105" spans="1:10">
      <c r="A105" t="s">
        <v>821</v>
      </c>
      <c r="B105" t="s">
        <v>60</v>
      </c>
      <c r="C105">
        <v>1</v>
      </c>
      <c r="E105">
        <v>28596.312999999998</v>
      </c>
      <c r="G105">
        <v>4.0000000000000001E-3</v>
      </c>
      <c r="H105">
        <v>1E-3</v>
      </c>
      <c r="I105">
        <v>96</v>
      </c>
      <c r="J105" t="s">
        <v>790</v>
      </c>
    </row>
    <row r="106" spans="1:10">
      <c r="A106" t="s">
        <v>821</v>
      </c>
      <c r="B106" t="s">
        <v>60</v>
      </c>
      <c r="C106">
        <v>2</v>
      </c>
      <c r="E106">
        <v>28638.841</v>
      </c>
      <c r="G106">
        <v>3.0000000000000001E-3</v>
      </c>
      <c r="H106">
        <v>1.0009999999999999</v>
      </c>
      <c r="I106">
        <v>98</v>
      </c>
      <c r="J106" t="s">
        <v>790</v>
      </c>
    </row>
    <row r="107" spans="1:10">
      <c r="A107" t="s">
        <v>821</v>
      </c>
      <c r="B107" t="s">
        <v>60</v>
      </c>
      <c r="C107">
        <v>3</v>
      </c>
      <c r="E107">
        <v>28702.777999999998</v>
      </c>
      <c r="G107">
        <v>3.0000000000000001E-3</v>
      </c>
      <c r="H107">
        <v>1.2490000000000001</v>
      </c>
      <c r="I107">
        <v>98</v>
      </c>
      <c r="J107" t="s">
        <v>790</v>
      </c>
    </row>
    <row r="108" spans="1:10">
      <c r="A108" t="s">
        <v>821</v>
      </c>
      <c r="B108" t="s">
        <v>60</v>
      </c>
      <c r="C108">
        <v>4</v>
      </c>
      <c r="E108">
        <v>28788.38</v>
      </c>
      <c r="G108">
        <v>3.0000000000000001E-3</v>
      </c>
      <c r="H108">
        <v>1.3480000000000001</v>
      </c>
      <c r="I108">
        <v>97</v>
      </c>
      <c r="J108" t="s">
        <v>790</v>
      </c>
    </row>
    <row r="109" spans="1:10">
      <c r="A109" t="s">
        <v>821</v>
      </c>
      <c r="B109" t="s">
        <v>60</v>
      </c>
      <c r="C109">
        <v>5</v>
      </c>
      <c r="E109">
        <v>28896.059000000001</v>
      </c>
      <c r="G109">
        <v>5.0000000000000001E-3</v>
      </c>
      <c r="H109">
        <v>1.401</v>
      </c>
      <c r="I109">
        <v>97</v>
      </c>
      <c r="J109" t="s">
        <v>790</v>
      </c>
    </row>
    <row r="110" spans="1:10">
      <c r="A110" t="s">
        <v>846</v>
      </c>
      <c r="B110" t="s">
        <v>15</v>
      </c>
      <c r="C110">
        <v>0</v>
      </c>
      <c r="E110">
        <v>28772.736000000001</v>
      </c>
      <c r="G110">
        <v>7.0000000000000001E-3</v>
      </c>
      <c r="I110">
        <v>100</v>
      </c>
      <c r="J110" t="s">
        <v>790</v>
      </c>
    </row>
    <row r="111" spans="1:10">
      <c r="A111" t="s">
        <v>846</v>
      </c>
      <c r="B111" t="s">
        <v>15</v>
      </c>
      <c r="C111">
        <v>1</v>
      </c>
      <c r="E111">
        <v>28791.519</v>
      </c>
      <c r="G111">
        <v>4.0000000000000001E-3</v>
      </c>
      <c r="I111">
        <v>100</v>
      </c>
      <c r="J111" t="s">
        <v>790</v>
      </c>
    </row>
    <row r="112" spans="1:10">
      <c r="A112" t="s">
        <v>846</v>
      </c>
      <c r="B112" t="s">
        <v>15</v>
      </c>
      <c r="C112">
        <v>2</v>
      </c>
      <c r="E112">
        <v>28828.429</v>
      </c>
      <c r="G112">
        <v>4.0000000000000001E-3</v>
      </c>
      <c r="I112">
        <v>100</v>
      </c>
      <c r="J112" t="s">
        <v>790</v>
      </c>
    </row>
    <row r="113" spans="1:10">
      <c r="A113" t="s">
        <v>846</v>
      </c>
      <c r="B113" t="s">
        <v>15</v>
      </c>
      <c r="C113">
        <v>3</v>
      </c>
      <c r="E113">
        <v>28882.367999999999</v>
      </c>
      <c r="G113">
        <v>4.0000000000000001E-3</v>
      </c>
      <c r="I113">
        <v>100</v>
      </c>
      <c r="J113" t="s">
        <v>790</v>
      </c>
    </row>
    <row r="114" spans="1:10">
      <c r="A114" t="s">
        <v>846</v>
      </c>
      <c r="B114" t="s">
        <v>15</v>
      </c>
      <c r="C114">
        <v>4</v>
      </c>
      <c r="E114">
        <v>28951.972000000002</v>
      </c>
      <c r="G114">
        <v>5.0000000000000001E-3</v>
      </c>
      <c r="I114">
        <v>100</v>
      </c>
      <c r="J114" t="s">
        <v>790</v>
      </c>
    </row>
    <row r="115" spans="1:10">
      <c r="A115" t="s">
        <v>817</v>
      </c>
      <c r="B115" t="s">
        <v>81</v>
      </c>
      <c r="C115">
        <v>1</v>
      </c>
      <c r="E115">
        <v>29661.25</v>
      </c>
      <c r="G115">
        <v>4.0000000000000001E-3</v>
      </c>
      <c r="H115">
        <v>0.50800000000000001</v>
      </c>
      <c r="I115" t="s">
        <v>847</v>
      </c>
      <c r="J115" t="s">
        <v>790</v>
      </c>
    </row>
    <row r="116" spans="1:10">
      <c r="A116" t="s">
        <v>817</v>
      </c>
      <c r="B116" t="s">
        <v>81</v>
      </c>
      <c r="C116">
        <v>2</v>
      </c>
      <c r="E116">
        <v>29768.674999999999</v>
      </c>
      <c r="G116">
        <v>3.0000000000000001E-3</v>
      </c>
      <c r="H116">
        <v>1.167</v>
      </c>
      <c r="I116" t="s">
        <v>848</v>
      </c>
      <c r="J116" t="s">
        <v>790</v>
      </c>
    </row>
    <row r="117" spans="1:10">
      <c r="A117" t="s">
        <v>817</v>
      </c>
      <c r="B117" t="s">
        <v>81</v>
      </c>
      <c r="C117">
        <v>3</v>
      </c>
      <c r="E117">
        <v>29912.286</v>
      </c>
      <c r="G117">
        <v>3.0000000000000001E-3</v>
      </c>
      <c r="H117">
        <v>1.3380000000000001</v>
      </c>
      <c r="I117" t="s">
        <v>849</v>
      </c>
      <c r="J117" t="s">
        <v>790</v>
      </c>
    </row>
    <row r="118" spans="1:10">
      <c r="A118" t="s">
        <v>821</v>
      </c>
      <c r="B118" t="s">
        <v>61</v>
      </c>
      <c r="C118">
        <v>0</v>
      </c>
      <c r="E118">
        <v>29829.112000000001</v>
      </c>
      <c r="G118">
        <v>6.0000000000000001E-3</v>
      </c>
      <c r="I118">
        <v>94</v>
      </c>
      <c r="J118" t="s">
        <v>790</v>
      </c>
    </row>
    <row r="119" spans="1:10">
      <c r="A119" t="s">
        <v>821</v>
      </c>
      <c r="B119" t="s">
        <v>61</v>
      </c>
      <c r="C119">
        <v>1</v>
      </c>
      <c r="E119">
        <v>29855.255000000001</v>
      </c>
      <c r="G119">
        <v>4.0000000000000001E-3</v>
      </c>
      <c r="H119">
        <v>1.498</v>
      </c>
      <c r="I119" t="s">
        <v>850</v>
      </c>
      <c r="J119" t="s">
        <v>790</v>
      </c>
    </row>
    <row r="120" spans="1:10">
      <c r="A120" t="s">
        <v>821</v>
      </c>
      <c r="B120" t="s">
        <v>61</v>
      </c>
      <c r="C120">
        <v>2</v>
      </c>
      <c r="E120">
        <v>29907.286</v>
      </c>
      <c r="G120">
        <v>4.0000000000000001E-3</v>
      </c>
      <c r="H120">
        <v>1.4970000000000001</v>
      </c>
      <c r="I120" t="s">
        <v>851</v>
      </c>
      <c r="J120" t="s">
        <v>790</v>
      </c>
    </row>
    <row r="121" spans="1:10">
      <c r="A121" t="s">
        <v>821</v>
      </c>
      <c r="B121" t="s">
        <v>61</v>
      </c>
      <c r="C121">
        <v>3</v>
      </c>
      <c r="E121">
        <v>29986.199000000001</v>
      </c>
      <c r="G121">
        <v>3.0000000000000001E-3</v>
      </c>
      <c r="H121">
        <v>1.496</v>
      </c>
      <c r="I121" t="s">
        <v>852</v>
      </c>
      <c r="J121" t="s">
        <v>790</v>
      </c>
    </row>
    <row r="122" spans="1:10">
      <c r="A122" t="s">
        <v>821</v>
      </c>
      <c r="B122" t="s">
        <v>61</v>
      </c>
      <c r="C122">
        <v>4</v>
      </c>
      <c r="E122">
        <v>30060.34</v>
      </c>
      <c r="G122">
        <v>3.0000000000000001E-3</v>
      </c>
      <c r="H122">
        <v>1.462</v>
      </c>
      <c r="I122" t="s">
        <v>853</v>
      </c>
      <c r="J122" t="s">
        <v>790</v>
      </c>
    </row>
    <row r="123" spans="1:10">
      <c r="A123" t="s">
        <v>854</v>
      </c>
      <c r="B123" t="s">
        <v>84</v>
      </c>
      <c r="C123">
        <v>3</v>
      </c>
      <c r="E123">
        <v>29914.737000000001</v>
      </c>
      <c r="G123">
        <v>3.0000000000000001E-3</v>
      </c>
      <c r="H123">
        <v>0.753</v>
      </c>
      <c r="I123" t="s">
        <v>855</v>
      </c>
      <c r="J123" t="s">
        <v>790</v>
      </c>
    </row>
    <row r="124" spans="1:10">
      <c r="A124" t="s">
        <v>854</v>
      </c>
      <c r="B124" t="s">
        <v>84</v>
      </c>
      <c r="C124">
        <v>4</v>
      </c>
      <c r="E124">
        <v>29971.085999999999</v>
      </c>
      <c r="G124">
        <v>4.0000000000000001E-3</v>
      </c>
      <c r="H124">
        <v>1.089</v>
      </c>
      <c r="I124" t="s">
        <v>856</v>
      </c>
      <c r="J124" t="s">
        <v>790</v>
      </c>
    </row>
    <row r="125" spans="1:10">
      <c r="A125" t="s">
        <v>854</v>
      </c>
      <c r="B125" t="s">
        <v>84</v>
      </c>
      <c r="C125">
        <v>5</v>
      </c>
      <c r="E125">
        <v>30039.17</v>
      </c>
      <c r="G125">
        <v>4.0000000000000001E-3</v>
      </c>
      <c r="H125">
        <v>1.2010000000000001</v>
      </c>
      <c r="I125" t="s">
        <v>857</v>
      </c>
      <c r="J125" t="s">
        <v>790</v>
      </c>
    </row>
    <row r="126" spans="1:10">
      <c r="A126" t="s">
        <v>813</v>
      </c>
      <c r="B126" t="s">
        <v>87</v>
      </c>
      <c r="C126">
        <v>1</v>
      </c>
      <c r="E126">
        <v>31184.01</v>
      </c>
      <c r="G126">
        <v>3.0000000000000001E-3</v>
      </c>
      <c r="H126">
        <v>0.502</v>
      </c>
      <c r="I126" t="s">
        <v>858</v>
      </c>
      <c r="J126" t="s">
        <v>790</v>
      </c>
    </row>
    <row r="127" spans="1:10">
      <c r="A127" t="s">
        <v>813</v>
      </c>
      <c r="B127" t="s">
        <v>87</v>
      </c>
      <c r="C127">
        <v>2</v>
      </c>
      <c r="E127">
        <v>31190.669000000002</v>
      </c>
      <c r="G127">
        <v>3.0000000000000001E-3</v>
      </c>
      <c r="H127">
        <v>1.169</v>
      </c>
      <c r="I127" t="s">
        <v>859</v>
      </c>
      <c r="J127" t="s">
        <v>790</v>
      </c>
    </row>
    <row r="128" spans="1:10">
      <c r="A128" t="s">
        <v>813</v>
      </c>
      <c r="B128" t="s">
        <v>87</v>
      </c>
      <c r="C128">
        <v>3</v>
      </c>
      <c r="E128">
        <v>31206.007000000001</v>
      </c>
      <c r="G128">
        <v>4.0000000000000001E-3</v>
      </c>
      <c r="H128">
        <v>1.3340000000000001</v>
      </c>
      <c r="I128" t="s">
        <v>860</v>
      </c>
      <c r="J128" t="s">
        <v>790</v>
      </c>
    </row>
    <row r="129" spans="1:10">
      <c r="A129" t="s">
        <v>821</v>
      </c>
      <c r="B129" t="s">
        <v>97</v>
      </c>
      <c r="C129">
        <v>3</v>
      </c>
      <c r="E129">
        <v>31373.807000000001</v>
      </c>
      <c r="G129">
        <v>3.0000000000000001E-3</v>
      </c>
      <c r="H129">
        <v>0.752</v>
      </c>
      <c r="I129" t="s">
        <v>861</v>
      </c>
      <c r="J129" t="s">
        <v>790</v>
      </c>
    </row>
    <row r="130" spans="1:10">
      <c r="A130" t="s">
        <v>821</v>
      </c>
      <c r="B130" t="s">
        <v>97</v>
      </c>
      <c r="C130">
        <v>4</v>
      </c>
      <c r="E130">
        <v>31489.475999999999</v>
      </c>
      <c r="G130">
        <v>3.0000000000000001E-3</v>
      </c>
      <c r="H130">
        <v>1.052</v>
      </c>
      <c r="I130" t="s">
        <v>862</v>
      </c>
      <c r="J130" t="s">
        <v>790</v>
      </c>
    </row>
    <row r="131" spans="1:10">
      <c r="A131" t="s">
        <v>821</v>
      </c>
      <c r="B131" t="s">
        <v>97</v>
      </c>
      <c r="C131">
        <v>5</v>
      </c>
      <c r="E131">
        <v>31628.687999999998</v>
      </c>
      <c r="G131">
        <v>4.0000000000000001E-3</v>
      </c>
      <c r="H131">
        <v>1.202</v>
      </c>
      <c r="I131" t="s">
        <v>863</v>
      </c>
      <c r="J131" t="s">
        <v>790</v>
      </c>
    </row>
    <row r="132" spans="1:10">
      <c r="A132" t="s">
        <v>813</v>
      </c>
      <c r="B132" t="s">
        <v>72</v>
      </c>
      <c r="C132">
        <v>0</v>
      </c>
      <c r="E132">
        <v>31685.825000000001</v>
      </c>
      <c r="G132">
        <v>6.0000000000000001E-3</v>
      </c>
      <c r="I132" t="s">
        <v>864</v>
      </c>
      <c r="J132" t="s">
        <v>790</v>
      </c>
    </row>
    <row r="133" spans="1:10">
      <c r="A133" t="s">
        <v>813</v>
      </c>
      <c r="B133" t="s">
        <v>72</v>
      </c>
      <c r="C133">
        <v>1</v>
      </c>
      <c r="E133">
        <v>31725.605</v>
      </c>
      <c r="G133">
        <v>4.0000000000000001E-3</v>
      </c>
      <c r="H133">
        <v>1.4970000000000001</v>
      </c>
      <c r="I133" t="s">
        <v>865</v>
      </c>
      <c r="J133" t="s">
        <v>790</v>
      </c>
    </row>
    <row r="134" spans="1:10">
      <c r="A134" t="s">
        <v>813</v>
      </c>
      <c r="B134" t="s">
        <v>72</v>
      </c>
      <c r="C134">
        <v>2</v>
      </c>
      <c r="E134">
        <v>31805.758000000002</v>
      </c>
      <c r="G134">
        <v>7.0000000000000001E-3</v>
      </c>
      <c r="H134">
        <v>1.498</v>
      </c>
      <c r="I134" t="s">
        <v>866</v>
      </c>
      <c r="J134" t="s">
        <v>790</v>
      </c>
    </row>
    <row r="135" spans="1:10">
      <c r="A135" t="s">
        <v>854</v>
      </c>
      <c r="B135" t="s">
        <v>66</v>
      </c>
      <c r="C135">
        <v>4</v>
      </c>
      <c r="E135">
        <v>31829.969000000001</v>
      </c>
      <c r="G135">
        <v>7.0000000000000001E-3</v>
      </c>
      <c r="H135">
        <v>0.80300000000000005</v>
      </c>
      <c r="I135" t="s">
        <v>867</v>
      </c>
      <c r="J135" t="s">
        <v>790</v>
      </c>
    </row>
    <row r="136" spans="1:10">
      <c r="A136" t="s">
        <v>854</v>
      </c>
      <c r="B136" t="s">
        <v>66</v>
      </c>
      <c r="C136">
        <v>5</v>
      </c>
      <c r="E136">
        <v>31914.291000000001</v>
      </c>
      <c r="G136">
        <v>6.0000000000000001E-3</v>
      </c>
      <c r="H136">
        <v>1.036</v>
      </c>
      <c r="I136" t="s">
        <v>868</v>
      </c>
      <c r="J136" t="s">
        <v>790</v>
      </c>
    </row>
    <row r="137" spans="1:10">
      <c r="A137" t="s">
        <v>854</v>
      </c>
      <c r="B137" t="s">
        <v>66</v>
      </c>
      <c r="C137">
        <v>6</v>
      </c>
      <c r="E137">
        <v>32013.544000000002</v>
      </c>
      <c r="G137">
        <v>7.0000000000000001E-3</v>
      </c>
      <c r="H137">
        <v>1.169</v>
      </c>
      <c r="I137" t="s">
        <v>869</v>
      </c>
      <c r="J137" t="s">
        <v>790</v>
      </c>
    </row>
    <row r="138" spans="1:10">
      <c r="A138" t="s">
        <v>870</v>
      </c>
      <c r="B138" t="s">
        <v>257</v>
      </c>
      <c r="C138">
        <v>3</v>
      </c>
      <c r="E138">
        <v>32514.565999999999</v>
      </c>
      <c r="G138">
        <v>4.0000000000000001E-3</v>
      </c>
      <c r="I138" t="s">
        <v>816</v>
      </c>
      <c r="J138" t="s">
        <v>790</v>
      </c>
    </row>
    <row r="139" spans="1:10">
      <c r="A139" t="s">
        <v>870</v>
      </c>
      <c r="B139" t="s">
        <v>257</v>
      </c>
      <c r="C139">
        <v>2</v>
      </c>
      <c r="E139">
        <v>32539.904999999999</v>
      </c>
      <c r="G139">
        <v>4.0000000000000001E-3</v>
      </c>
      <c r="I139" t="s">
        <v>816</v>
      </c>
      <c r="J139" t="s">
        <v>790</v>
      </c>
    </row>
    <row r="140" spans="1:10">
      <c r="A140" t="s">
        <v>870</v>
      </c>
      <c r="B140" t="s">
        <v>257</v>
      </c>
      <c r="C140">
        <v>1</v>
      </c>
      <c r="E140">
        <v>32557.419000000002</v>
      </c>
      <c r="G140">
        <v>5.0000000000000001E-3</v>
      </c>
      <c r="I140" t="s">
        <v>816</v>
      </c>
      <c r="J140" t="s">
        <v>790</v>
      </c>
    </row>
    <row r="141" spans="1:10">
      <c r="A141" t="s">
        <v>844</v>
      </c>
      <c r="B141" t="s">
        <v>92</v>
      </c>
      <c r="C141">
        <v>3</v>
      </c>
      <c r="E141">
        <v>32857.722999999998</v>
      </c>
      <c r="G141">
        <v>5.0000000000000001E-3</v>
      </c>
      <c r="H141">
        <v>0.998</v>
      </c>
      <c r="I141" t="s">
        <v>871</v>
      </c>
      <c r="J141" t="s">
        <v>790</v>
      </c>
    </row>
    <row r="142" spans="1:10">
      <c r="A142" t="s">
        <v>872</v>
      </c>
      <c r="B142" t="s">
        <v>100</v>
      </c>
      <c r="C142">
        <v>0</v>
      </c>
      <c r="E142">
        <v>33085.150999999998</v>
      </c>
      <c r="G142">
        <v>6.0000000000000001E-3</v>
      </c>
      <c r="I142" t="s">
        <v>873</v>
      </c>
      <c r="J142" t="s">
        <v>790</v>
      </c>
    </row>
    <row r="143" spans="1:10">
      <c r="A143" t="s">
        <v>872</v>
      </c>
      <c r="B143" t="s">
        <v>100</v>
      </c>
      <c r="C143">
        <v>1</v>
      </c>
      <c r="E143">
        <v>33090.497000000003</v>
      </c>
      <c r="G143">
        <v>4.0000000000000001E-3</v>
      </c>
      <c r="H143">
        <v>1.4690000000000001</v>
      </c>
      <c r="I143" t="s">
        <v>874</v>
      </c>
      <c r="J143" t="s">
        <v>790</v>
      </c>
    </row>
    <row r="144" spans="1:10">
      <c r="A144" t="s">
        <v>872</v>
      </c>
      <c r="B144" t="s">
        <v>100</v>
      </c>
      <c r="C144">
        <v>2</v>
      </c>
      <c r="E144">
        <v>33114.42</v>
      </c>
      <c r="G144">
        <v>4.0000000000000001E-3</v>
      </c>
      <c r="H144">
        <v>1.498</v>
      </c>
      <c r="I144" t="s">
        <v>873</v>
      </c>
      <c r="J144" t="s">
        <v>790</v>
      </c>
    </row>
    <row r="145" spans="1:10">
      <c r="A145" t="s">
        <v>821</v>
      </c>
      <c r="B145" t="s">
        <v>116</v>
      </c>
      <c r="C145">
        <v>2</v>
      </c>
      <c r="E145">
        <v>33655.868999999999</v>
      </c>
      <c r="G145">
        <v>4.0000000000000001E-3</v>
      </c>
      <c r="H145">
        <v>0.66900000000000004</v>
      </c>
      <c r="I145" t="s">
        <v>875</v>
      </c>
      <c r="J145" t="s">
        <v>790</v>
      </c>
    </row>
    <row r="146" spans="1:10">
      <c r="A146" t="s">
        <v>821</v>
      </c>
      <c r="B146" t="s">
        <v>116</v>
      </c>
      <c r="C146">
        <v>3</v>
      </c>
      <c r="E146">
        <v>33680.248</v>
      </c>
      <c r="G146">
        <v>4.0000000000000001E-3</v>
      </c>
      <c r="H146">
        <v>1.0860000000000001</v>
      </c>
      <c r="I146" t="s">
        <v>876</v>
      </c>
      <c r="J146" t="s">
        <v>790</v>
      </c>
    </row>
    <row r="147" spans="1:10">
      <c r="A147" t="s">
        <v>821</v>
      </c>
      <c r="B147" t="s">
        <v>116</v>
      </c>
      <c r="C147">
        <v>4</v>
      </c>
      <c r="E147">
        <v>33700.883999999998</v>
      </c>
      <c r="G147">
        <v>5.0000000000000001E-3</v>
      </c>
      <c r="H147">
        <v>1.254</v>
      </c>
      <c r="I147" t="s">
        <v>877</v>
      </c>
      <c r="J147" t="s">
        <v>790</v>
      </c>
    </row>
    <row r="148" spans="1:10">
      <c r="A148" t="s">
        <v>844</v>
      </c>
      <c r="B148" t="s">
        <v>89</v>
      </c>
      <c r="C148">
        <v>1</v>
      </c>
      <c r="E148">
        <v>33660.652000000002</v>
      </c>
      <c r="G148">
        <v>0.01</v>
      </c>
      <c r="H148">
        <v>1.101</v>
      </c>
      <c r="I148" t="s">
        <v>878</v>
      </c>
      <c r="J148" t="s">
        <v>790</v>
      </c>
    </row>
    <row r="149" spans="1:10">
      <c r="A149" t="s">
        <v>854</v>
      </c>
      <c r="B149" t="s">
        <v>879</v>
      </c>
      <c r="C149">
        <v>2</v>
      </c>
      <c r="E149">
        <v>33980.652999999998</v>
      </c>
      <c r="G149">
        <v>4.0000000000000001E-3</v>
      </c>
      <c r="H149">
        <v>0.66400000000000003</v>
      </c>
      <c r="I149" t="s">
        <v>880</v>
      </c>
      <c r="J149" t="s">
        <v>790</v>
      </c>
    </row>
    <row r="150" spans="1:10">
      <c r="A150" t="s">
        <v>854</v>
      </c>
      <c r="B150" t="s">
        <v>879</v>
      </c>
      <c r="C150">
        <v>3</v>
      </c>
      <c r="E150">
        <v>34078.606</v>
      </c>
      <c r="G150">
        <v>3.0000000000000001E-3</v>
      </c>
      <c r="H150">
        <v>1.085</v>
      </c>
      <c r="I150" t="s">
        <v>881</v>
      </c>
      <c r="J150" t="s">
        <v>790</v>
      </c>
    </row>
    <row r="151" spans="1:10">
      <c r="A151" t="s">
        <v>854</v>
      </c>
      <c r="B151" t="s">
        <v>879</v>
      </c>
      <c r="C151">
        <v>4</v>
      </c>
      <c r="E151">
        <v>34204.985000000001</v>
      </c>
      <c r="G151">
        <v>4.0000000000000001E-3</v>
      </c>
      <c r="H151">
        <v>1.252</v>
      </c>
      <c r="I151" t="s">
        <v>882</v>
      </c>
      <c r="J151" t="s">
        <v>790</v>
      </c>
    </row>
    <row r="152" spans="1:10">
      <c r="A152" t="s">
        <v>846</v>
      </c>
      <c r="B152" t="s">
        <v>883</v>
      </c>
      <c r="C152">
        <v>0</v>
      </c>
      <c r="E152">
        <v>34219.338000000003</v>
      </c>
      <c r="G152">
        <v>6.0000000000000001E-3</v>
      </c>
      <c r="I152" t="s">
        <v>884</v>
      </c>
      <c r="J152" t="s">
        <v>790</v>
      </c>
    </row>
    <row r="153" spans="1:10">
      <c r="A153" t="s">
        <v>846</v>
      </c>
      <c r="B153" t="s">
        <v>883</v>
      </c>
      <c r="C153">
        <v>1</v>
      </c>
      <c r="E153">
        <v>34327.836000000003</v>
      </c>
      <c r="G153">
        <v>5.0000000000000001E-3</v>
      </c>
      <c r="I153" t="s">
        <v>884</v>
      </c>
      <c r="J153" t="s">
        <v>790</v>
      </c>
    </row>
    <row r="154" spans="1:10">
      <c r="A154" t="s">
        <v>846</v>
      </c>
      <c r="B154" t="s">
        <v>883</v>
      </c>
      <c r="C154">
        <v>2</v>
      </c>
      <c r="E154">
        <v>34534.987000000001</v>
      </c>
      <c r="G154">
        <v>4.0000000000000001E-3</v>
      </c>
      <c r="I154" t="s">
        <v>884</v>
      </c>
      <c r="J154" t="s">
        <v>790</v>
      </c>
    </row>
    <row r="155" spans="1:10">
      <c r="A155" t="s">
        <v>885</v>
      </c>
      <c r="B155" t="s">
        <v>259</v>
      </c>
      <c r="C155">
        <v>2</v>
      </c>
      <c r="E155">
        <v>34496.769999999997</v>
      </c>
      <c r="G155">
        <v>0.03</v>
      </c>
      <c r="I155" t="s">
        <v>816</v>
      </c>
      <c r="J155" t="s">
        <v>790</v>
      </c>
    </row>
    <row r="156" spans="1:10">
      <c r="A156" t="s">
        <v>886</v>
      </c>
      <c r="B156" t="s">
        <v>74</v>
      </c>
      <c r="C156">
        <v>5</v>
      </c>
      <c r="E156">
        <v>34700.214999999997</v>
      </c>
      <c r="G156">
        <v>5.0000000000000001E-3</v>
      </c>
      <c r="H156">
        <v>1.0009999999999999</v>
      </c>
      <c r="I156" t="s">
        <v>887</v>
      </c>
      <c r="J156" t="s">
        <v>790</v>
      </c>
    </row>
    <row r="157" spans="1:10">
      <c r="A157" t="s">
        <v>813</v>
      </c>
      <c r="B157" t="s">
        <v>127</v>
      </c>
      <c r="C157">
        <v>1</v>
      </c>
      <c r="E157">
        <v>34947.116000000002</v>
      </c>
      <c r="G157">
        <v>6.0000000000000001E-3</v>
      </c>
      <c r="H157">
        <v>1.0309999999999999</v>
      </c>
      <c r="I157" t="s">
        <v>888</v>
      </c>
      <c r="J157" t="s">
        <v>790</v>
      </c>
    </row>
    <row r="158" spans="1:10">
      <c r="A158" t="s">
        <v>813</v>
      </c>
      <c r="B158" t="s">
        <v>889</v>
      </c>
      <c r="C158">
        <v>2</v>
      </c>
      <c r="E158">
        <v>35035.137000000002</v>
      </c>
      <c r="G158">
        <v>6.0000000000000001E-3</v>
      </c>
      <c r="H158">
        <v>1.0029999999999999</v>
      </c>
      <c r="I158" t="s">
        <v>890</v>
      </c>
      <c r="J158" t="s">
        <v>790</v>
      </c>
    </row>
    <row r="159" spans="1:10">
      <c r="A159" t="s">
        <v>846</v>
      </c>
      <c r="B159" t="s">
        <v>891</v>
      </c>
      <c r="C159">
        <v>2</v>
      </c>
      <c r="E159">
        <v>35123.425000000003</v>
      </c>
      <c r="G159">
        <v>3.0000000000000001E-3</v>
      </c>
      <c r="I159" t="s">
        <v>816</v>
      </c>
      <c r="J159" t="s">
        <v>790</v>
      </c>
    </row>
    <row r="160" spans="1:10">
      <c r="A160" t="s">
        <v>846</v>
      </c>
      <c r="B160" t="s">
        <v>891</v>
      </c>
      <c r="C160">
        <v>3</v>
      </c>
      <c r="E160">
        <v>35174.502</v>
      </c>
      <c r="G160">
        <v>3.0000000000000001E-3</v>
      </c>
      <c r="I160" t="s">
        <v>816</v>
      </c>
      <c r="J160" t="s">
        <v>790</v>
      </c>
    </row>
    <row r="161" spans="1:10">
      <c r="A161" t="s">
        <v>846</v>
      </c>
      <c r="B161" t="s">
        <v>891</v>
      </c>
      <c r="C161">
        <v>4</v>
      </c>
      <c r="E161">
        <v>35242.197999999997</v>
      </c>
      <c r="G161">
        <v>4.0000000000000001E-3</v>
      </c>
      <c r="I161" t="s">
        <v>816</v>
      </c>
      <c r="J161" t="s">
        <v>790</v>
      </c>
    </row>
    <row r="162" spans="1:10">
      <c r="A162" t="s">
        <v>846</v>
      </c>
      <c r="B162" t="s">
        <v>892</v>
      </c>
      <c r="C162">
        <v>4</v>
      </c>
      <c r="E162">
        <v>35345.555</v>
      </c>
      <c r="G162">
        <v>4.0000000000000001E-3</v>
      </c>
      <c r="I162" t="s">
        <v>816</v>
      </c>
      <c r="J162" t="s">
        <v>790</v>
      </c>
    </row>
    <row r="163" spans="1:10">
      <c r="A163" t="s">
        <v>846</v>
      </c>
      <c r="B163" t="s">
        <v>892</v>
      </c>
      <c r="C163">
        <v>5</v>
      </c>
      <c r="E163">
        <v>35400.235000000001</v>
      </c>
      <c r="G163">
        <v>4.0000000000000001E-3</v>
      </c>
      <c r="I163" t="s">
        <v>816</v>
      </c>
      <c r="J163" t="s">
        <v>790</v>
      </c>
    </row>
    <row r="164" spans="1:10">
      <c r="A164" t="s">
        <v>846</v>
      </c>
      <c r="B164" t="s">
        <v>892</v>
      </c>
      <c r="C164">
        <v>6</v>
      </c>
      <c r="E164">
        <v>35469.497000000003</v>
      </c>
      <c r="G164">
        <v>5.0000000000000001E-3</v>
      </c>
      <c r="I164" t="s">
        <v>816</v>
      </c>
      <c r="J164" t="s">
        <v>790</v>
      </c>
    </row>
    <row r="165" spans="1:10">
      <c r="A165" t="s">
        <v>893</v>
      </c>
      <c r="B165" t="s">
        <v>93</v>
      </c>
      <c r="C165">
        <v>1</v>
      </c>
      <c r="E165">
        <v>35439.250999999997</v>
      </c>
      <c r="G165">
        <v>4.0000000000000001E-3</v>
      </c>
      <c r="H165">
        <v>1.9350000000000001</v>
      </c>
      <c r="I165" t="s">
        <v>894</v>
      </c>
      <c r="J165" t="s">
        <v>790</v>
      </c>
    </row>
    <row r="166" spans="1:10">
      <c r="A166" t="s">
        <v>886</v>
      </c>
      <c r="B166" t="s">
        <v>95</v>
      </c>
      <c r="C166">
        <v>4</v>
      </c>
      <c r="E166">
        <v>35454.052000000003</v>
      </c>
      <c r="G166">
        <v>6.0000000000000001E-3</v>
      </c>
      <c r="H166">
        <v>0.80300000000000005</v>
      </c>
      <c r="I166" t="s">
        <v>895</v>
      </c>
      <c r="J166" t="s">
        <v>790</v>
      </c>
    </row>
    <row r="167" spans="1:10">
      <c r="A167" t="s">
        <v>886</v>
      </c>
      <c r="B167" t="s">
        <v>95</v>
      </c>
      <c r="C167">
        <v>5</v>
      </c>
      <c r="E167">
        <v>35559.648000000001</v>
      </c>
      <c r="G167">
        <v>5.0000000000000001E-3</v>
      </c>
      <c r="H167">
        <v>1.0349999999999999</v>
      </c>
      <c r="I167" t="s">
        <v>896</v>
      </c>
      <c r="J167" t="s">
        <v>790</v>
      </c>
    </row>
    <row r="168" spans="1:10">
      <c r="A168" t="s">
        <v>886</v>
      </c>
      <c r="B168" t="s">
        <v>95</v>
      </c>
      <c r="C168">
        <v>6</v>
      </c>
      <c r="E168">
        <v>35685.173999999999</v>
      </c>
      <c r="G168">
        <v>7.0000000000000001E-3</v>
      </c>
      <c r="H168">
        <v>1.1679999999999999</v>
      </c>
      <c r="I168" t="s">
        <v>895</v>
      </c>
      <c r="J168" t="s">
        <v>790</v>
      </c>
    </row>
    <row r="169" spans="1:10">
      <c r="A169" t="s">
        <v>872</v>
      </c>
      <c r="B169" t="s">
        <v>102</v>
      </c>
      <c r="C169">
        <v>0</v>
      </c>
      <c r="E169">
        <v>35503.398999999998</v>
      </c>
      <c r="G169">
        <v>1.4E-2</v>
      </c>
      <c r="I169">
        <v>97</v>
      </c>
      <c r="J169" t="s">
        <v>790</v>
      </c>
    </row>
    <row r="170" spans="1:10">
      <c r="A170" t="s">
        <v>872</v>
      </c>
      <c r="B170" t="s">
        <v>102</v>
      </c>
      <c r="C170">
        <v>1</v>
      </c>
      <c r="E170">
        <v>35527.748</v>
      </c>
      <c r="G170">
        <v>8.0000000000000002E-3</v>
      </c>
      <c r="H170">
        <v>1.498</v>
      </c>
      <c r="I170">
        <v>98</v>
      </c>
      <c r="J170" t="s">
        <v>790</v>
      </c>
    </row>
    <row r="171" spans="1:10">
      <c r="A171" t="s">
        <v>872</v>
      </c>
      <c r="B171" t="s">
        <v>102</v>
      </c>
      <c r="C171">
        <v>2</v>
      </c>
      <c r="E171">
        <v>35577.086000000003</v>
      </c>
      <c r="G171">
        <v>8.0000000000000002E-3</v>
      </c>
      <c r="H171">
        <v>1.4990000000000001</v>
      </c>
      <c r="I171">
        <v>98</v>
      </c>
      <c r="J171" t="s">
        <v>790</v>
      </c>
    </row>
    <row r="172" spans="1:10">
      <c r="A172" t="s">
        <v>872</v>
      </c>
      <c r="B172" t="s">
        <v>102</v>
      </c>
      <c r="C172">
        <v>3</v>
      </c>
      <c r="E172">
        <v>35652.9</v>
      </c>
      <c r="G172">
        <v>5.0000000000000001E-3</v>
      </c>
      <c r="H172">
        <v>1.5</v>
      </c>
      <c r="I172">
        <v>98</v>
      </c>
      <c r="J172" t="s">
        <v>790</v>
      </c>
    </row>
    <row r="173" spans="1:10">
      <c r="A173" t="s">
        <v>872</v>
      </c>
      <c r="B173" t="s">
        <v>102</v>
      </c>
      <c r="C173">
        <v>4</v>
      </c>
      <c r="E173">
        <v>35757.394</v>
      </c>
      <c r="G173">
        <v>7.0000000000000001E-3</v>
      </c>
      <c r="H173">
        <v>1.5</v>
      </c>
      <c r="I173">
        <v>99</v>
      </c>
      <c r="J173" t="s">
        <v>790</v>
      </c>
    </row>
    <row r="174" spans="1:10">
      <c r="A174" t="s">
        <v>897</v>
      </c>
      <c r="B174" t="s">
        <v>80</v>
      </c>
      <c r="C174">
        <v>1</v>
      </c>
      <c r="E174">
        <v>35959.108999999997</v>
      </c>
      <c r="G174">
        <v>3.0000000000000001E-3</v>
      </c>
      <c r="H174">
        <v>0</v>
      </c>
      <c r="I174" t="s">
        <v>816</v>
      </c>
      <c r="J174" t="s">
        <v>790</v>
      </c>
    </row>
    <row r="175" spans="1:10">
      <c r="A175" t="s">
        <v>897</v>
      </c>
      <c r="B175" t="s">
        <v>80</v>
      </c>
      <c r="C175">
        <v>2</v>
      </c>
      <c r="E175">
        <v>36013.597000000002</v>
      </c>
      <c r="G175">
        <v>3.0000000000000001E-3</v>
      </c>
      <c r="I175" t="s">
        <v>816</v>
      </c>
      <c r="J175" t="s">
        <v>790</v>
      </c>
    </row>
    <row r="176" spans="1:10">
      <c r="A176" t="s">
        <v>897</v>
      </c>
      <c r="B176" t="s">
        <v>80</v>
      </c>
      <c r="C176">
        <v>3</v>
      </c>
      <c r="E176">
        <v>36096.542000000001</v>
      </c>
      <c r="G176">
        <v>3.0000000000000001E-3</v>
      </c>
      <c r="H176">
        <v>1.24</v>
      </c>
      <c r="I176" t="s">
        <v>816</v>
      </c>
      <c r="J176" t="s">
        <v>790</v>
      </c>
    </row>
    <row r="177" spans="1:10">
      <c r="A177" t="s">
        <v>897</v>
      </c>
      <c r="B177" t="s">
        <v>80</v>
      </c>
      <c r="C177">
        <v>4</v>
      </c>
      <c r="E177">
        <v>36208.928999999996</v>
      </c>
      <c r="G177">
        <v>3.0000000000000001E-3</v>
      </c>
      <c r="H177">
        <v>1.34</v>
      </c>
      <c r="I177" t="s">
        <v>816</v>
      </c>
      <c r="J177" t="s">
        <v>790</v>
      </c>
    </row>
    <row r="178" spans="1:10">
      <c r="A178" t="s">
        <v>897</v>
      </c>
      <c r="B178" t="s">
        <v>80</v>
      </c>
      <c r="C178">
        <v>5</v>
      </c>
      <c r="E178">
        <v>36351.364999999998</v>
      </c>
      <c r="G178">
        <v>3.0000000000000001E-3</v>
      </c>
      <c r="H178">
        <v>1.42</v>
      </c>
      <c r="I178" t="s">
        <v>816</v>
      </c>
      <c r="J178" t="s">
        <v>790</v>
      </c>
    </row>
    <row r="179" spans="1:10">
      <c r="A179" t="s">
        <v>898</v>
      </c>
      <c r="B179" t="s">
        <v>111</v>
      </c>
      <c r="C179">
        <v>4</v>
      </c>
      <c r="E179">
        <v>36000.148000000001</v>
      </c>
      <c r="G179">
        <v>5.0000000000000001E-3</v>
      </c>
      <c r="H179">
        <v>1</v>
      </c>
      <c r="I179" t="s">
        <v>899</v>
      </c>
      <c r="J179" t="s">
        <v>790</v>
      </c>
    </row>
    <row r="180" spans="1:10">
      <c r="A180" t="s">
        <v>846</v>
      </c>
      <c r="B180" t="s">
        <v>43</v>
      </c>
      <c r="C180">
        <v>3</v>
      </c>
      <c r="E180">
        <v>36065.466</v>
      </c>
      <c r="G180">
        <v>3.0000000000000001E-3</v>
      </c>
      <c r="I180">
        <v>100</v>
      </c>
      <c r="J180" t="s">
        <v>790</v>
      </c>
    </row>
    <row r="181" spans="1:10">
      <c r="A181" t="s">
        <v>846</v>
      </c>
      <c r="B181" t="s">
        <v>43</v>
      </c>
      <c r="C181">
        <v>4</v>
      </c>
      <c r="E181">
        <v>36132.283000000003</v>
      </c>
      <c r="G181">
        <v>3.0000000000000001E-3</v>
      </c>
      <c r="I181">
        <v>100</v>
      </c>
      <c r="J181" t="s">
        <v>790</v>
      </c>
    </row>
    <row r="182" spans="1:10">
      <c r="A182" t="s">
        <v>846</v>
      </c>
      <c r="B182" t="s">
        <v>43</v>
      </c>
      <c r="C182">
        <v>5</v>
      </c>
      <c r="E182">
        <v>36200.732000000004</v>
      </c>
      <c r="G182">
        <v>5.0000000000000001E-3</v>
      </c>
      <c r="I182">
        <v>100</v>
      </c>
      <c r="J182" t="s">
        <v>790</v>
      </c>
    </row>
    <row r="183" spans="1:10">
      <c r="A183" t="s">
        <v>872</v>
      </c>
      <c r="B183" t="s">
        <v>68</v>
      </c>
      <c r="C183">
        <v>1</v>
      </c>
      <c r="E183">
        <v>36298.427000000003</v>
      </c>
      <c r="G183">
        <v>5.0000000000000001E-3</v>
      </c>
      <c r="H183">
        <v>2.4860000000000002</v>
      </c>
      <c r="I183">
        <v>96</v>
      </c>
      <c r="J183" t="s">
        <v>790</v>
      </c>
    </row>
    <row r="184" spans="1:10">
      <c r="A184" t="s">
        <v>872</v>
      </c>
      <c r="B184" t="s">
        <v>68</v>
      </c>
      <c r="C184">
        <v>2</v>
      </c>
      <c r="E184">
        <v>36340.673000000003</v>
      </c>
      <c r="G184">
        <v>5.0000000000000001E-3</v>
      </c>
      <c r="H184">
        <v>1.827</v>
      </c>
      <c r="I184">
        <v>97</v>
      </c>
      <c r="J184" t="s">
        <v>790</v>
      </c>
    </row>
    <row r="185" spans="1:10">
      <c r="A185" t="s">
        <v>872</v>
      </c>
      <c r="B185" t="s">
        <v>68</v>
      </c>
      <c r="C185">
        <v>3</v>
      </c>
      <c r="E185">
        <v>36414.531000000003</v>
      </c>
      <c r="G185">
        <v>6.0000000000000001E-3</v>
      </c>
      <c r="H185">
        <v>1.665</v>
      </c>
      <c r="I185">
        <v>97</v>
      </c>
      <c r="J185" t="s">
        <v>790</v>
      </c>
    </row>
    <row r="186" spans="1:10">
      <c r="A186" t="s">
        <v>900</v>
      </c>
      <c r="B186" t="s">
        <v>901</v>
      </c>
      <c r="C186">
        <v>0</v>
      </c>
      <c r="E186">
        <v>37090.413</v>
      </c>
      <c r="G186">
        <v>7.0000000000000001E-3</v>
      </c>
      <c r="I186" t="s">
        <v>902</v>
      </c>
      <c r="J186" t="s">
        <v>790</v>
      </c>
    </row>
    <row r="187" spans="1:10">
      <c r="A187" t="s">
        <v>900</v>
      </c>
      <c r="B187" t="s">
        <v>901</v>
      </c>
      <c r="C187">
        <v>1</v>
      </c>
      <c r="E187">
        <v>37172.989000000001</v>
      </c>
      <c r="G187">
        <v>5.0000000000000001E-3</v>
      </c>
      <c r="H187">
        <v>1.508</v>
      </c>
      <c r="I187" t="s">
        <v>903</v>
      </c>
      <c r="J187" t="s">
        <v>790</v>
      </c>
    </row>
    <row r="188" spans="1:10">
      <c r="A188" t="s">
        <v>900</v>
      </c>
      <c r="B188" t="s">
        <v>901</v>
      </c>
      <c r="C188">
        <v>2</v>
      </c>
      <c r="E188">
        <v>37325.410000000003</v>
      </c>
      <c r="G188">
        <v>5.0000000000000001E-3</v>
      </c>
      <c r="H188">
        <v>1.5029999999999999</v>
      </c>
      <c r="I188" t="s">
        <v>904</v>
      </c>
      <c r="J188" t="s">
        <v>790</v>
      </c>
    </row>
    <row r="189" spans="1:10">
      <c r="A189" t="s">
        <v>872</v>
      </c>
      <c r="B189" t="s">
        <v>108</v>
      </c>
      <c r="C189">
        <v>2</v>
      </c>
      <c r="E189">
        <v>37359.203000000001</v>
      </c>
      <c r="G189">
        <v>5.0000000000000001E-3</v>
      </c>
      <c r="H189">
        <v>1.9990000000000001</v>
      </c>
      <c r="I189">
        <v>93</v>
      </c>
      <c r="J189" t="s">
        <v>790</v>
      </c>
    </row>
    <row r="190" spans="1:10">
      <c r="A190" t="s">
        <v>897</v>
      </c>
      <c r="B190" t="s">
        <v>86</v>
      </c>
      <c r="C190">
        <v>2</v>
      </c>
      <c r="E190">
        <v>37538.862000000001</v>
      </c>
      <c r="G190">
        <v>3.0000000000000001E-3</v>
      </c>
      <c r="H190">
        <v>0.67</v>
      </c>
      <c r="I190" t="s">
        <v>816</v>
      </c>
      <c r="J190" t="s">
        <v>790</v>
      </c>
    </row>
    <row r="191" spans="1:10">
      <c r="A191" t="s">
        <v>897</v>
      </c>
      <c r="B191" t="s">
        <v>86</v>
      </c>
      <c r="C191">
        <v>3</v>
      </c>
      <c r="E191">
        <v>37659.991999999998</v>
      </c>
      <c r="G191">
        <v>3.0000000000000001E-3</v>
      </c>
      <c r="H191">
        <v>1.1100000000000001</v>
      </c>
      <c r="I191" t="s">
        <v>816</v>
      </c>
      <c r="J191" t="s">
        <v>790</v>
      </c>
    </row>
    <row r="192" spans="1:10">
      <c r="A192" t="s">
        <v>897</v>
      </c>
      <c r="B192" t="s">
        <v>86</v>
      </c>
      <c r="C192">
        <v>4</v>
      </c>
      <c r="E192">
        <v>37824.758000000002</v>
      </c>
      <c r="G192">
        <v>3.0000000000000001E-3</v>
      </c>
      <c r="H192">
        <v>1.27</v>
      </c>
      <c r="I192" t="s">
        <v>816</v>
      </c>
      <c r="J192" t="s">
        <v>790</v>
      </c>
    </row>
    <row r="193" spans="1:10">
      <c r="A193" t="s">
        <v>886</v>
      </c>
      <c r="B193" t="s">
        <v>189</v>
      </c>
      <c r="C193">
        <v>3</v>
      </c>
      <c r="E193">
        <v>37555.057999999997</v>
      </c>
      <c r="G193">
        <v>4.0000000000000001E-3</v>
      </c>
      <c r="H193">
        <v>0.76900000000000002</v>
      </c>
      <c r="I193" t="s">
        <v>905</v>
      </c>
      <c r="J193" t="s">
        <v>790</v>
      </c>
    </row>
    <row r="194" spans="1:10">
      <c r="A194" t="s">
        <v>886</v>
      </c>
      <c r="B194" t="s">
        <v>189</v>
      </c>
      <c r="C194">
        <v>4</v>
      </c>
      <c r="E194">
        <v>37617.894</v>
      </c>
      <c r="G194">
        <v>4.0000000000000001E-3</v>
      </c>
      <c r="H194">
        <v>1.075</v>
      </c>
      <c r="I194" t="s">
        <v>906</v>
      </c>
      <c r="J194" t="s">
        <v>790</v>
      </c>
    </row>
    <row r="195" spans="1:10">
      <c r="A195" t="s">
        <v>886</v>
      </c>
      <c r="B195" t="s">
        <v>189</v>
      </c>
      <c r="C195">
        <v>5</v>
      </c>
      <c r="E195">
        <v>37690.326999999997</v>
      </c>
      <c r="G195">
        <v>4.0000000000000001E-3</v>
      </c>
      <c r="H195">
        <v>1.198</v>
      </c>
      <c r="I195" t="s">
        <v>907</v>
      </c>
      <c r="J195" t="s">
        <v>790</v>
      </c>
    </row>
    <row r="196" spans="1:10">
      <c r="A196" t="s">
        <v>908</v>
      </c>
      <c r="B196" t="s">
        <v>110</v>
      </c>
      <c r="C196">
        <v>3</v>
      </c>
      <c r="E196">
        <v>37622.574999999997</v>
      </c>
      <c r="G196">
        <v>8.9999999999999993E-3</v>
      </c>
      <c r="H196">
        <v>0.98899999999999999</v>
      </c>
      <c r="I196" t="s">
        <v>909</v>
      </c>
      <c r="J196" t="s">
        <v>790</v>
      </c>
    </row>
    <row r="197" spans="1:10">
      <c r="A197" t="s">
        <v>900</v>
      </c>
      <c r="B197" t="s">
        <v>910</v>
      </c>
      <c r="C197">
        <v>2</v>
      </c>
      <c r="E197">
        <v>37654.69</v>
      </c>
      <c r="G197">
        <v>6.0000000000000001E-3</v>
      </c>
      <c r="H197">
        <v>0.66700000000000004</v>
      </c>
      <c r="I197" t="s">
        <v>911</v>
      </c>
      <c r="J197" t="s">
        <v>790</v>
      </c>
    </row>
    <row r="198" spans="1:10">
      <c r="A198" t="s">
        <v>900</v>
      </c>
      <c r="B198" t="s">
        <v>910</v>
      </c>
      <c r="C198">
        <v>3</v>
      </c>
      <c r="E198">
        <v>37743.962</v>
      </c>
      <c r="G198">
        <v>4.0000000000000001E-3</v>
      </c>
      <c r="H198">
        <v>1.0780000000000001</v>
      </c>
      <c r="I198" t="s">
        <v>912</v>
      </c>
      <c r="J198" t="s">
        <v>790</v>
      </c>
    </row>
    <row r="199" spans="1:10">
      <c r="A199" t="s">
        <v>900</v>
      </c>
      <c r="B199" t="s">
        <v>910</v>
      </c>
      <c r="C199">
        <v>4</v>
      </c>
      <c r="E199">
        <v>37852.436999999998</v>
      </c>
      <c r="G199">
        <v>4.0000000000000001E-3</v>
      </c>
      <c r="H199">
        <v>1.2310000000000001</v>
      </c>
      <c r="I199" t="s">
        <v>913</v>
      </c>
      <c r="J199" t="s">
        <v>790</v>
      </c>
    </row>
    <row r="200" spans="1:10">
      <c r="A200" t="s">
        <v>893</v>
      </c>
      <c r="B200" t="s">
        <v>94</v>
      </c>
      <c r="C200">
        <v>1</v>
      </c>
      <c r="E200">
        <v>37851.802000000003</v>
      </c>
      <c r="G200">
        <v>5.0000000000000001E-3</v>
      </c>
      <c r="H200">
        <v>0.51600000000000001</v>
      </c>
      <c r="I200" t="s">
        <v>914</v>
      </c>
      <c r="J200" t="s">
        <v>790</v>
      </c>
    </row>
    <row r="201" spans="1:10">
      <c r="A201" t="s">
        <v>893</v>
      </c>
      <c r="B201" t="s">
        <v>94</v>
      </c>
      <c r="C201">
        <v>2</v>
      </c>
      <c r="E201">
        <v>37976.589</v>
      </c>
      <c r="G201">
        <v>4.0000000000000001E-3</v>
      </c>
      <c r="H201">
        <v>1.1619999999999999</v>
      </c>
      <c r="I201" t="s">
        <v>915</v>
      </c>
      <c r="J201" t="s">
        <v>790</v>
      </c>
    </row>
    <row r="202" spans="1:10">
      <c r="A202" t="s">
        <v>893</v>
      </c>
      <c r="B202" t="s">
        <v>94</v>
      </c>
      <c r="C202">
        <v>3</v>
      </c>
      <c r="E202">
        <v>38159.461000000003</v>
      </c>
      <c r="G202">
        <v>4.0000000000000001E-3</v>
      </c>
      <c r="H202">
        <v>1.331</v>
      </c>
      <c r="I202" t="s">
        <v>916</v>
      </c>
      <c r="J202" t="s">
        <v>790</v>
      </c>
    </row>
    <row r="203" spans="1:10">
      <c r="A203" t="s">
        <v>886</v>
      </c>
      <c r="B203" t="s">
        <v>917</v>
      </c>
      <c r="C203">
        <v>2</v>
      </c>
      <c r="E203">
        <v>38451.309000000001</v>
      </c>
      <c r="G203">
        <v>4.0000000000000001E-3</v>
      </c>
      <c r="H203">
        <v>0.67500000000000004</v>
      </c>
      <c r="I203" t="s">
        <v>918</v>
      </c>
      <c r="J203" t="s">
        <v>790</v>
      </c>
    </row>
    <row r="204" spans="1:10">
      <c r="A204" t="s">
        <v>886</v>
      </c>
      <c r="B204" t="s">
        <v>917</v>
      </c>
      <c r="C204">
        <v>3</v>
      </c>
      <c r="E204">
        <v>38544.315999999999</v>
      </c>
      <c r="G204">
        <v>5.0000000000000001E-3</v>
      </c>
      <c r="H204">
        <v>1.0860000000000001</v>
      </c>
      <c r="I204" t="s">
        <v>919</v>
      </c>
      <c r="J204" t="s">
        <v>790</v>
      </c>
    </row>
    <row r="205" spans="1:10">
      <c r="A205" t="s">
        <v>886</v>
      </c>
      <c r="B205" t="s">
        <v>917</v>
      </c>
      <c r="C205">
        <v>4</v>
      </c>
      <c r="E205">
        <v>38670.722999999998</v>
      </c>
      <c r="G205">
        <v>4.0000000000000001E-3</v>
      </c>
      <c r="H205">
        <v>1.25</v>
      </c>
      <c r="I205" t="s">
        <v>920</v>
      </c>
      <c r="J205" t="s">
        <v>790</v>
      </c>
    </row>
    <row r="206" spans="1:10">
      <c r="A206" t="s">
        <v>846</v>
      </c>
      <c r="B206" t="s">
        <v>257</v>
      </c>
      <c r="C206">
        <v>2</v>
      </c>
      <c r="E206">
        <v>38476.084000000003</v>
      </c>
      <c r="G206">
        <v>6.0000000000000001E-3</v>
      </c>
      <c r="I206" t="s">
        <v>816</v>
      </c>
      <c r="J206" t="s">
        <v>790</v>
      </c>
    </row>
    <row r="207" spans="1:10">
      <c r="A207" t="s">
        <v>846</v>
      </c>
      <c r="B207" t="s">
        <v>257</v>
      </c>
      <c r="C207">
        <v>3</v>
      </c>
      <c r="E207">
        <v>38476.614999999998</v>
      </c>
      <c r="G207">
        <v>5.0000000000000001E-3</v>
      </c>
      <c r="I207" t="s">
        <v>816</v>
      </c>
      <c r="J207" t="s">
        <v>790</v>
      </c>
    </row>
    <row r="208" spans="1:10">
      <c r="A208" t="s">
        <v>846</v>
      </c>
      <c r="B208" t="s">
        <v>257</v>
      </c>
      <c r="C208">
        <v>1</v>
      </c>
      <c r="E208">
        <v>38481.773000000001</v>
      </c>
      <c r="G208">
        <v>7.0000000000000001E-3</v>
      </c>
      <c r="I208" t="s">
        <v>816</v>
      </c>
      <c r="J208" t="s">
        <v>790</v>
      </c>
    </row>
    <row r="209" spans="1:10">
      <c r="A209" t="s">
        <v>846</v>
      </c>
      <c r="B209" t="s">
        <v>921</v>
      </c>
      <c r="C209">
        <v>4</v>
      </c>
      <c r="E209">
        <v>38527.358999999997</v>
      </c>
      <c r="G209">
        <v>6.0000000000000001E-3</v>
      </c>
      <c r="I209" t="s">
        <v>816</v>
      </c>
      <c r="J209" t="s">
        <v>790</v>
      </c>
    </row>
    <row r="210" spans="1:10">
      <c r="A210" t="s">
        <v>922</v>
      </c>
      <c r="B210" t="s">
        <v>83</v>
      </c>
      <c r="C210">
        <v>5</v>
      </c>
      <c r="E210">
        <v>38572.699000000001</v>
      </c>
      <c r="G210">
        <v>6.0000000000000001E-3</v>
      </c>
      <c r="H210">
        <v>0.83399999999999996</v>
      </c>
      <c r="I210">
        <v>100</v>
      </c>
      <c r="J210" t="s">
        <v>790</v>
      </c>
    </row>
    <row r="211" spans="1:10">
      <c r="A211" t="s">
        <v>922</v>
      </c>
      <c r="B211" t="s">
        <v>83</v>
      </c>
      <c r="C211">
        <v>6</v>
      </c>
      <c r="E211">
        <v>38668.887000000002</v>
      </c>
      <c r="G211">
        <v>8.0000000000000002E-3</v>
      </c>
      <c r="H211">
        <v>1.024</v>
      </c>
      <c r="I211">
        <v>100</v>
      </c>
      <c r="J211" t="s">
        <v>790</v>
      </c>
    </row>
    <row r="212" spans="1:10">
      <c r="A212" t="s">
        <v>922</v>
      </c>
      <c r="B212" t="s">
        <v>83</v>
      </c>
      <c r="C212">
        <v>7</v>
      </c>
      <c r="E212">
        <v>38779.856</v>
      </c>
      <c r="G212">
        <v>8.9999999999999993E-3</v>
      </c>
      <c r="H212">
        <v>1.143</v>
      </c>
      <c r="I212">
        <v>100</v>
      </c>
      <c r="J212" t="s">
        <v>790</v>
      </c>
    </row>
    <row r="213" spans="1:10">
      <c r="A213" t="s">
        <v>923</v>
      </c>
      <c r="B213" t="s">
        <v>117</v>
      </c>
      <c r="C213">
        <v>1</v>
      </c>
      <c r="E213">
        <v>38654.067999999999</v>
      </c>
      <c r="G213">
        <v>4.0000000000000001E-3</v>
      </c>
      <c r="H213">
        <v>0.52200000000000002</v>
      </c>
      <c r="I213" t="s">
        <v>924</v>
      </c>
      <c r="J213" t="s">
        <v>790</v>
      </c>
    </row>
    <row r="214" spans="1:10">
      <c r="A214" t="s">
        <v>923</v>
      </c>
      <c r="B214" t="s">
        <v>117</v>
      </c>
      <c r="C214">
        <v>2</v>
      </c>
      <c r="E214">
        <v>38699.805</v>
      </c>
      <c r="G214">
        <v>5.0000000000000001E-3</v>
      </c>
      <c r="H214">
        <v>1.167</v>
      </c>
      <c r="I214" t="s">
        <v>925</v>
      </c>
      <c r="J214" t="s">
        <v>790</v>
      </c>
    </row>
    <row r="215" spans="1:10">
      <c r="A215" t="s">
        <v>923</v>
      </c>
      <c r="B215" t="s">
        <v>117</v>
      </c>
      <c r="C215">
        <v>3</v>
      </c>
      <c r="E215">
        <v>38764.843999999997</v>
      </c>
      <c r="G215">
        <v>5.0000000000000001E-3</v>
      </c>
      <c r="H215">
        <v>1.3280000000000001</v>
      </c>
      <c r="I215" t="s">
        <v>926</v>
      </c>
      <c r="J215" t="s">
        <v>790</v>
      </c>
    </row>
    <row r="216" spans="1:10">
      <c r="A216" t="s">
        <v>886</v>
      </c>
      <c r="B216" t="s">
        <v>113</v>
      </c>
      <c r="C216">
        <v>4</v>
      </c>
      <c r="E216">
        <v>38959.506999999998</v>
      </c>
      <c r="G216">
        <v>5.0000000000000001E-3</v>
      </c>
      <c r="H216">
        <v>1.0009999999999999</v>
      </c>
      <c r="I216" t="s">
        <v>927</v>
      </c>
      <c r="J216" t="s">
        <v>790</v>
      </c>
    </row>
    <row r="217" spans="1:10">
      <c r="A217" t="s">
        <v>900</v>
      </c>
      <c r="B217" t="s">
        <v>928</v>
      </c>
      <c r="C217">
        <v>1</v>
      </c>
      <c r="E217">
        <v>39077.752999999997</v>
      </c>
      <c r="G217">
        <v>5.0000000000000001E-3</v>
      </c>
      <c r="H217">
        <v>0.98099999999999998</v>
      </c>
      <c r="I217" t="s">
        <v>929</v>
      </c>
      <c r="J217" t="s">
        <v>790</v>
      </c>
    </row>
    <row r="218" spans="1:10">
      <c r="A218" t="s">
        <v>930</v>
      </c>
      <c r="B218" t="s">
        <v>132</v>
      </c>
      <c r="C218">
        <v>1</v>
      </c>
      <c r="E218">
        <v>39107.06</v>
      </c>
      <c r="G218">
        <v>5.0000000000000001E-3</v>
      </c>
      <c r="I218" t="s">
        <v>816</v>
      </c>
      <c r="J218" t="s">
        <v>790</v>
      </c>
    </row>
    <row r="219" spans="1:10">
      <c r="A219" t="s">
        <v>930</v>
      </c>
      <c r="B219" t="s">
        <v>132</v>
      </c>
      <c r="C219">
        <v>2</v>
      </c>
      <c r="E219">
        <v>39149.279999999999</v>
      </c>
      <c r="G219">
        <v>4.0000000000000001E-3</v>
      </c>
      <c r="I219" t="s">
        <v>816</v>
      </c>
      <c r="J219" t="s">
        <v>790</v>
      </c>
    </row>
    <row r="220" spans="1:10">
      <c r="A220" t="s">
        <v>930</v>
      </c>
      <c r="B220" t="s">
        <v>132</v>
      </c>
      <c r="C220">
        <v>3</v>
      </c>
      <c r="E220">
        <v>39214.362000000001</v>
      </c>
      <c r="G220">
        <v>3.0000000000000001E-3</v>
      </c>
      <c r="I220" t="s">
        <v>816</v>
      </c>
      <c r="J220" t="s">
        <v>790</v>
      </c>
    </row>
    <row r="221" spans="1:10">
      <c r="A221" t="s">
        <v>930</v>
      </c>
      <c r="B221" t="s">
        <v>132</v>
      </c>
      <c r="C221">
        <v>4</v>
      </c>
      <c r="E221">
        <v>39302.506000000001</v>
      </c>
      <c r="G221">
        <v>4.0000000000000001E-3</v>
      </c>
      <c r="I221" t="s">
        <v>816</v>
      </c>
      <c r="J221" t="s">
        <v>790</v>
      </c>
    </row>
    <row r="222" spans="1:10">
      <c r="A222" t="s">
        <v>930</v>
      </c>
      <c r="B222" t="s">
        <v>132</v>
      </c>
      <c r="C222">
        <v>5</v>
      </c>
      <c r="E222">
        <v>39412.845999999998</v>
      </c>
      <c r="G222">
        <v>4.0000000000000001E-3</v>
      </c>
      <c r="I222" t="s">
        <v>816</v>
      </c>
      <c r="J222" t="s">
        <v>790</v>
      </c>
    </row>
    <row r="223" spans="1:10">
      <c r="A223" t="s">
        <v>922</v>
      </c>
      <c r="B223" t="s">
        <v>931</v>
      </c>
      <c r="C223">
        <v>4</v>
      </c>
      <c r="E223">
        <v>39115.957000000002</v>
      </c>
      <c r="G223">
        <v>5.0000000000000001E-3</v>
      </c>
      <c r="H223">
        <v>0.80400000000000005</v>
      </c>
      <c r="I223">
        <v>93</v>
      </c>
      <c r="J223" t="s">
        <v>790</v>
      </c>
    </row>
    <row r="224" spans="1:10">
      <c r="A224" t="s">
        <v>922</v>
      </c>
      <c r="B224" t="s">
        <v>931</v>
      </c>
      <c r="C224">
        <v>5</v>
      </c>
      <c r="E224">
        <v>39152.103000000003</v>
      </c>
      <c r="G224">
        <v>5.0000000000000001E-3</v>
      </c>
      <c r="H224">
        <v>1.0349999999999999</v>
      </c>
      <c r="I224" t="s">
        <v>896</v>
      </c>
      <c r="J224" t="s">
        <v>790</v>
      </c>
    </row>
    <row r="225" spans="1:10">
      <c r="A225" t="s">
        <v>922</v>
      </c>
      <c r="B225" t="s">
        <v>931</v>
      </c>
      <c r="C225">
        <v>6</v>
      </c>
      <c r="E225">
        <v>39198.322999999997</v>
      </c>
      <c r="G225">
        <v>6.0000000000000001E-3</v>
      </c>
      <c r="H225">
        <v>1.167</v>
      </c>
      <c r="I225" t="s">
        <v>932</v>
      </c>
      <c r="J225" t="s">
        <v>790</v>
      </c>
    </row>
    <row r="226" spans="1:10">
      <c r="A226" t="s">
        <v>908</v>
      </c>
      <c r="B226" t="s">
        <v>933</v>
      </c>
      <c r="C226">
        <v>2</v>
      </c>
      <c r="E226">
        <v>39265.817999999999</v>
      </c>
      <c r="G226">
        <v>7.0000000000000001E-3</v>
      </c>
      <c r="H226">
        <v>1.006</v>
      </c>
      <c r="I226" t="s">
        <v>934</v>
      </c>
      <c r="J226" t="s">
        <v>790</v>
      </c>
    </row>
    <row r="227" spans="1:10">
      <c r="A227" t="s">
        <v>930</v>
      </c>
      <c r="B227" t="s">
        <v>935</v>
      </c>
      <c r="C227">
        <v>2</v>
      </c>
      <c r="E227">
        <v>39526.911999999997</v>
      </c>
      <c r="G227">
        <v>3.0000000000000001E-3</v>
      </c>
      <c r="I227" t="s">
        <v>816</v>
      </c>
      <c r="J227" t="s">
        <v>790</v>
      </c>
    </row>
    <row r="228" spans="1:10">
      <c r="A228" t="s">
        <v>930</v>
      </c>
      <c r="B228" t="s">
        <v>935</v>
      </c>
      <c r="C228">
        <v>3</v>
      </c>
      <c r="E228">
        <v>39641.021000000001</v>
      </c>
      <c r="G228">
        <v>2E-3</v>
      </c>
      <c r="I228" t="s">
        <v>816</v>
      </c>
      <c r="J228" t="s">
        <v>790</v>
      </c>
    </row>
    <row r="229" spans="1:10">
      <c r="A229" t="s">
        <v>930</v>
      </c>
      <c r="B229" t="s">
        <v>935</v>
      </c>
      <c r="C229">
        <v>4</v>
      </c>
      <c r="E229">
        <v>39785.923000000003</v>
      </c>
      <c r="G229">
        <v>3.0000000000000001E-3</v>
      </c>
      <c r="I229" t="s">
        <v>816</v>
      </c>
      <c r="J229" t="s">
        <v>790</v>
      </c>
    </row>
    <row r="230" spans="1:10">
      <c r="A230" t="s">
        <v>900</v>
      </c>
      <c r="B230" t="s">
        <v>140</v>
      </c>
      <c r="C230">
        <v>1</v>
      </c>
      <c r="E230">
        <v>39662.080999999998</v>
      </c>
      <c r="G230">
        <v>5.0000000000000001E-3</v>
      </c>
      <c r="H230">
        <v>0.50600000000000001</v>
      </c>
      <c r="I230" t="s">
        <v>936</v>
      </c>
      <c r="J230" t="s">
        <v>790</v>
      </c>
    </row>
    <row r="231" spans="1:10">
      <c r="A231" t="s">
        <v>900</v>
      </c>
      <c r="B231" t="s">
        <v>140</v>
      </c>
      <c r="C231">
        <v>2</v>
      </c>
      <c r="E231">
        <v>39685.964</v>
      </c>
      <c r="G231">
        <v>5.0000000000000001E-3</v>
      </c>
      <c r="H231">
        <v>1.1679999999999999</v>
      </c>
      <c r="I231" t="s">
        <v>937</v>
      </c>
      <c r="J231" t="s">
        <v>790</v>
      </c>
    </row>
    <row r="232" spans="1:10">
      <c r="A232" t="s">
        <v>900</v>
      </c>
      <c r="B232" t="s">
        <v>140</v>
      </c>
      <c r="C232">
        <v>3</v>
      </c>
      <c r="E232">
        <v>39715.438999999998</v>
      </c>
      <c r="G232">
        <v>5.0000000000000001E-3</v>
      </c>
      <c r="H232">
        <v>1.327</v>
      </c>
      <c r="I232" t="s">
        <v>938</v>
      </c>
      <c r="J232" t="s">
        <v>790</v>
      </c>
    </row>
    <row r="233" spans="1:10">
      <c r="A233" t="s">
        <v>900</v>
      </c>
      <c r="B233" t="s">
        <v>939</v>
      </c>
      <c r="C233">
        <v>3</v>
      </c>
      <c r="E233">
        <v>40302.957000000002</v>
      </c>
      <c r="G233">
        <v>6.0000000000000001E-3</v>
      </c>
      <c r="H233">
        <v>1.008</v>
      </c>
      <c r="I233" t="s">
        <v>940</v>
      </c>
      <c r="J233" t="s">
        <v>790</v>
      </c>
    </row>
    <row r="234" spans="1:10">
      <c r="A234" t="s">
        <v>922</v>
      </c>
      <c r="B234" t="s">
        <v>88</v>
      </c>
      <c r="C234">
        <v>6</v>
      </c>
      <c r="E234">
        <v>40319.828999999998</v>
      </c>
      <c r="G234">
        <v>1.2E-2</v>
      </c>
      <c r="H234">
        <v>1</v>
      </c>
      <c r="I234">
        <v>100</v>
      </c>
      <c r="J234" t="s">
        <v>790</v>
      </c>
    </row>
    <row r="235" spans="1:10">
      <c r="A235" t="s">
        <v>908</v>
      </c>
      <c r="B235" t="s">
        <v>941</v>
      </c>
      <c r="C235">
        <v>0</v>
      </c>
      <c r="E235">
        <v>40369.531999999999</v>
      </c>
      <c r="G235">
        <v>1.0999999999999999E-2</v>
      </c>
      <c r="I235" t="s">
        <v>942</v>
      </c>
      <c r="J235" t="s">
        <v>790</v>
      </c>
    </row>
    <row r="236" spans="1:10">
      <c r="A236" t="s">
        <v>908</v>
      </c>
      <c r="B236" t="s">
        <v>941</v>
      </c>
      <c r="C236">
        <v>1</v>
      </c>
      <c r="E236">
        <v>40384.497000000003</v>
      </c>
      <c r="G236">
        <v>6.0000000000000001E-3</v>
      </c>
      <c r="H236">
        <v>1.496</v>
      </c>
      <c r="I236" t="s">
        <v>943</v>
      </c>
      <c r="J236" t="s">
        <v>790</v>
      </c>
    </row>
    <row r="237" spans="1:10">
      <c r="A237" t="s">
        <v>908</v>
      </c>
      <c r="B237" t="s">
        <v>941</v>
      </c>
      <c r="C237">
        <v>2</v>
      </c>
      <c r="E237">
        <v>40466.987000000001</v>
      </c>
      <c r="G237">
        <v>6.0000000000000001E-3</v>
      </c>
      <c r="H237">
        <v>1.4950000000000001</v>
      </c>
      <c r="I237" t="s">
        <v>942</v>
      </c>
      <c r="J237" t="s">
        <v>790</v>
      </c>
    </row>
    <row r="238" spans="1:10">
      <c r="A238" t="s">
        <v>872</v>
      </c>
      <c r="B238" t="s">
        <v>944</v>
      </c>
      <c r="C238">
        <v>1</v>
      </c>
      <c r="E238">
        <v>40556.014000000003</v>
      </c>
      <c r="G238">
        <v>5.0000000000000001E-3</v>
      </c>
      <c r="H238">
        <v>0.501</v>
      </c>
      <c r="I238" t="s">
        <v>945</v>
      </c>
      <c r="J238" t="s">
        <v>790</v>
      </c>
    </row>
    <row r="239" spans="1:10">
      <c r="A239" t="s">
        <v>872</v>
      </c>
      <c r="B239" t="s">
        <v>944</v>
      </c>
      <c r="C239">
        <v>2</v>
      </c>
      <c r="E239">
        <v>40670.508999999998</v>
      </c>
      <c r="G239">
        <v>5.0000000000000001E-3</v>
      </c>
      <c r="H239">
        <v>1.113</v>
      </c>
      <c r="I239" t="s">
        <v>946</v>
      </c>
      <c r="J239" t="s">
        <v>790</v>
      </c>
    </row>
    <row r="240" spans="1:10">
      <c r="A240" t="s">
        <v>872</v>
      </c>
      <c r="B240" t="s">
        <v>944</v>
      </c>
      <c r="C240">
        <v>3</v>
      </c>
      <c r="E240">
        <v>40844.150999999998</v>
      </c>
      <c r="G240">
        <v>7.0000000000000001E-3</v>
      </c>
      <c r="H240">
        <v>1.2649999999999999</v>
      </c>
      <c r="I240" t="s">
        <v>947</v>
      </c>
      <c r="J240" t="s">
        <v>790</v>
      </c>
    </row>
    <row r="241" spans="1:10">
      <c r="A241" t="s">
        <v>923</v>
      </c>
      <c r="B241" t="s">
        <v>948</v>
      </c>
      <c r="C241">
        <v>1</v>
      </c>
      <c r="E241">
        <v>40844.050000000003</v>
      </c>
      <c r="G241">
        <v>0.02</v>
      </c>
      <c r="H241">
        <v>1.998</v>
      </c>
      <c r="I241" t="s">
        <v>949</v>
      </c>
      <c r="J241" t="s">
        <v>790</v>
      </c>
    </row>
    <row r="242" spans="1:10">
      <c r="A242" t="s">
        <v>922</v>
      </c>
      <c r="B242" t="s">
        <v>96</v>
      </c>
      <c r="C242">
        <v>5</v>
      </c>
      <c r="E242">
        <v>41039.870000000003</v>
      </c>
      <c r="G242">
        <v>6.0000000000000001E-3</v>
      </c>
      <c r="H242">
        <v>1.0069999999999999</v>
      </c>
      <c r="I242" t="s">
        <v>950</v>
      </c>
      <c r="J242" t="s">
        <v>790</v>
      </c>
    </row>
    <row r="243" spans="1:10">
      <c r="A243" t="s">
        <v>951</v>
      </c>
      <c r="B243" t="s">
        <v>952</v>
      </c>
      <c r="C243">
        <v>3</v>
      </c>
      <c r="E243">
        <v>41087.404000000002</v>
      </c>
      <c r="G243">
        <v>4.0000000000000001E-3</v>
      </c>
      <c r="H243">
        <v>1.01</v>
      </c>
      <c r="I243" t="s">
        <v>816</v>
      </c>
      <c r="J243" t="s">
        <v>790</v>
      </c>
    </row>
    <row r="244" spans="1:10">
      <c r="A244" t="s">
        <v>922</v>
      </c>
      <c r="B244" t="s">
        <v>293</v>
      </c>
      <c r="C244">
        <v>3</v>
      </c>
      <c r="E244">
        <v>41170.006000000001</v>
      </c>
      <c r="G244">
        <v>5.0000000000000001E-3</v>
      </c>
      <c r="H244">
        <v>0.752</v>
      </c>
      <c r="I244" t="s">
        <v>953</v>
      </c>
      <c r="J244" t="s">
        <v>790</v>
      </c>
    </row>
    <row r="245" spans="1:10">
      <c r="A245" t="s">
        <v>922</v>
      </c>
      <c r="B245" t="s">
        <v>293</v>
      </c>
      <c r="C245">
        <v>4</v>
      </c>
      <c r="E245">
        <v>41255.481</v>
      </c>
      <c r="G245">
        <v>5.0000000000000001E-3</v>
      </c>
      <c r="H245">
        <v>1.0509999999999999</v>
      </c>
      <c r="I245" t="s">
        <v>954</v>
      </c>
      <c r="J245" t="s">
        <v>790</v>
      </c>
    </row>
    <row r="246" spans="1:10">
      <c r="A246" t="s">
        <v>922</v>
      </c>
      <c r="B246" t="s">
        <v>293</v>
      </c>
      <c r="C246">
        <v>5</v>
      </c>
      <c r="E246">
        <v>41341.542999999998</v>
      </c>
      <c r="G246">
        <v>8.0000000000000002E-3</v>
      </c>
      <c r="H246">
        <v>1.498</v>
      </c>
      <c r="I246" t="s">
        <v>955</v>
      </c>
      <c r="J246" t="s">
        <v>790</v>
      </c>
    </row>
    <row r="247" spans="1:10">
      <c r="A247" t="s">
        <v>951</v>
      </c>
      <c r="B247" t="s">
        <v>254</v>
      </c>
      <c r="C247">
        <v>2</v>
      </c>
      <c r="E247">
        <v>41194.377999999997</v>
      </c>
      <c r="G247">
        <v>5.0000000000000001E-3</v>
      </c>
      <c r="I247" t="s">
        <v>816</v>
      </c>
      <c r="J247" t="s">
        <v>790</v>
      </c>
    </row>
    <row r="248" spans="1:10">
      <c r="A248" t="s">
        <v>951</v>
      </c>
      <c r="B248" t="s">
        <v>254</v>
      </c>
      <c r="C248">
        <v>3</v>
      </c>
      <c r="E248">
        <v>41368.995999999999</v>
      </c>
      <c r="G248">
        <v>3.0000000000000001E-3</v>
      </c>
      <c r="I248" t="s">
        <v>816</v>
      </c>
      <c r="J248" t="s">
        <v>790</v>
      </c>
    </row>
    <row r="249" spans="1:10">
      <c r="A249" t="s">
        <v>951</v>
      </c>
      <c r="B249" t="s">
        <v>254</v>
      </c>
      <c r="C249">
        <v>4</v>
      </c>
      <c r="E249">
        <v>41481.207000000002</v>
      </c>
      <c r="G249">
        <v>4.0000000000000001E-3</v>
      </c>
      <c r="I249" t="s">
        <v>816</v>
      </c>
      <c r="J249" t="s">
        <v>790</v>
      </c>
    </row>
    <row r="250" spans="1:10">
      <c r="A250" t="s">
        <v>908</v>
      </c>
      <c r="B250" t="s">
        <v>956</v>
      </c>
      <c r="C250">
        <v>2</v>
      </c>
      <c r="E250">
        <v>41337.748</v>
      </c>
      <c r="G250">
        <v>6.0000000000000001E-3</v>
      </c>
      <c r="H250">
        <v>0.66800000000000004</v>
      </c>
      <c r="I250" t="s">
        <v>957</v>
      </c>
      <c r="J250" t="s">
        <v>790</v>
      </c>
    </row>
    <row r="251" spans="1:10">
      <c r="A251" t="s">
        <v>908</v>
      </c>
      <c r="B251" t="s">
        <v>956</v>
      </c>
      <c r="C251">
        <v>3</v>
      </c>
      <c r="E251">
        <v>41457.639000000003</v>
      </c>
      <c r="G251">
        <v>5.0000000000000001E-3</v>
      </c>
      <c r="H251">
        <v>1.1459999999999999</v>
      </c>
      <c r="I251" t="s">
        <v>958</v>
      </c>
      <c r="J251" t="s">
        <v>790</v>
      </c>
    </row>
    <row r="252" spans="1:10">
      <c r="A252" t="s">
        <v>908</v>
      </c>
      <c r="B252" t="s">
        <v>956</v>
      </c>
      <c r="C252">
        <v>4</v>
      </c>
      <c r="E252">
        <v>41624.218999999997</v>
      </c>
      <c r="G252">
        <v>6.0000000000000001E-3</v>
      </c>
      <c r="H252">
        <v>1.25</v>
      </c>
      <c r="I252" t="s">
        <v>959</v>
      </c>
      <c r="J252" t="s">
        <v>790</v>
      </c>
    </row>
    <row r="253" spans="1:10">
      <c r="A253" t="s">
        <v>886</v>
      </c>
      <c r="B253" t="s">
        <v>960</v>
      </c>
      <c r="C253">
        <v>3</v>
      </c>
      <c r="E253">
        <v>41584.908000000003</v>
      </c>
      <c r="G253">
        <v>7.0000000000000001E-3</v>
      </c>
      <c r="H253">
        <v>1.008</v>
      </c>
      <c r="I253" t="s">
        <v>961</v>
      </c>
      <c r="J253" t="s">
        <v>790</v>
      </c>
    </row>
    <row r="254" spans="1:10">
      <c r="A254" t="s">
        <v>870</v>
      </c>
      <c r="B254" t="s">
        <v>259</v>
      </c>
      <c r="C254">
        <v>2</v>
      </c>
      <c r="E254">
        <v>41671.567000000003</v>
      </c>
      <c r="G254">
        <v>0.01</v>
      </c>
      <c r="I254" t="s">
        <v>816</v>
      </c>
      <c r="J254" t="s">
        <v>790</v>
      </c>
    </row>
    <row r="255" spans="1:10">
      <c r="A255" t="s">
        <v>962</v>
      </c>
      <c r="B255" t="s">
        <v>272</v>
      </c>
      <c r="C255">
        <v>2</v>
      </c>
      <c r="E255">
        <v>41689.271999999997</v>
      </c>
      <c r="G255">
        <v>7.0000000000000001E-3</v>
      </c>
      <c r="I255" t="s">
        <v>816</v>
      </c>
      <c r="J255" t="s">
        <v>790</v>
      </c>
    </row>
    <row r="256" spans="1:10">
      <c r="A256" t="s">
        <v>962</v>
      </c>
      <c r="B256" t="s">
        <v>272</v>
      </c>
      <c r="C256">
        <v>3</v>
      </c>
      <c r="E256">
        <v>41756.879999999997</v>
      </c>
      <c r="G256">
        <v>7.0000000000000001E-3</v>
      </c>
      <c r="I256" t="s">
        <v>816</v>
      </c>
      <c r="J256" t="s">
        <v>790</v>
      </c>
    </row>
    <row r="257" spans="1:10">
      <c r="A257" t="s">
        <v>962</v>
      </c>
      <c r="B257" t="s">
        <v>272</v>
      </c>
      <c r="C257">
        <v>4</v>
      </c>
      <c r="E257">
        <v>41847.686000000002</v>
      </c>
      <c r="G257">
        <v>5.0000000000000001E-3</v>
      </c>
      <c r="I257" t="s">
        <v>816</v>
      </c>
      <c r="J257" t="s">
        <v>790</v>
      </c>
    </row>
    <row r="258" spans="1:10">
      <c r="A258" t="s">
        <v>962</v>
      </c>
      <c r="B258" t="s">
        <v>272</v>
      </c>
      <c r="C258">
        <v>5</v>
      </c>
      <c r="E258">
        <v>41962.232000000004</v>
      </c>
      <c r="G258">
        <v>7.0000000000000001E-3</v>
      </c>
      <c r="I258" t="s">
        <v>816</v>
      </c>
      <c r="J258" t="s">
        <v>790</v>
      </c>
    </row>
    <row r="259" spans="1:10">
      <c r="A259" t="s">
        <v>962</v>
      </c>
      <c r="B259" t="s">
        <v>272</v>
      </c>
      <c r="C259">
        <v>6</v>
      </c>
      <c r="E259">
        <v>42100.716999999997</v>
      </c>
      <c r="G259">
        <v>8.0000000000000002E-3</v>
      </c>
      <c r="I259" t="s">
        <v>816</v>
      </c>
      <c r="J259" t="s">
        <v>790</v>
      </c>
    </row>
    <row r="260" spans="1:10">
      <c r="A260" t="s">
        <v>963</v>
      </c>
      <c r="B260" t="s">
        <v>134</v>
      </c>
      <c r="C260">
        <v>2</v>
      </c>
      <c r="E260">
        <v>41714.411500000002</v>
      </c>
      <c r="G260">
        <v>1.5E-3</v>
      </c>
      <c r="I260" t="s">
        <v>816</v>
      </c>
      <c r="J260" t="s">
        <v>790</v>
      </c>
    </row>
    <row r="261" spans="1:10">
      <c r="A261" t="s">
        <v>963</v>
      </c>
      <c r="B261" t="s">
        <v>134</v>
      </c>
      <c r="C261">
        <v>3</v>
      </c>
      <c r="E261">
        <v>41757.529000000002</v>
      </c>
      <c r="G261">
        <v>2E-3</v>
      </c>
      <c r="I261" t="s">
        <v>816</v>
      </c>
      <c r="J261" t="s">
        <v>790</v>
      </c>
    </row>
    <row r="262" spans="1:10">
      <c r="A262" t="s">
        <v>963</v>
      </c>
      <c r="B262" t="s">
        <v>134</v>
      </c>
      <c r="C262">
        <v>4</v>
      </c>
      <c r="E262">
        <v>41818.808799999999</v>
      </c>
      <c r="G262">
        <v>1.2999999999999999E-3</v>
      </c>
      <c r="H262">
        <v>1.1200000000000001</v>
      </c>
      <c r="I262" t="s">
        <v>816</v>
      </c>
      <c r="J262" t="s">
        <v>790</v>
      </c>
    </row>
    <row r="263" spans="1:10">
      <c r="A263" t="s">
        <v>963</v>
      </c>
      <c r="B263" t="s">
        <v>134</v>
      </c>
      <c r="C263">
        <v>5</v>
      </c>
      <c r="E263">
        <v>41903.475700000003</v>
      </c>
      <c r="G263">
        <v>1.5E-3</v>
      </c>
      <c r="H263">
        <v>1.24</v>
      </c>
      <c r="I263" t="s">
        <v>816</v>
      </c>
      <c r="J263" t="s">
        <v>790</v>
      </c>
    </row>
    <row r="264" spans="1:10">
      <c r="A264" t="s">
        <v>963</v>
      </c>
      <c r="B264" t="s">
        <v>134</v>
      </c>
      <c r="C264">
        <v>6</v>
      </c>
      <c r="E264">
        <v>42019.129300000001</v>
      </c>
      <c r="G264">
        <v>1.2999999999999999E-3</v>
      </c>
      <c r="H264">
        <v>1.34</v>
      </c>
      <c r="I264" t="s">
        <v>816</v>
      </c>
      <c r="J264" t="s">
        <v>790</v>
      </c>
    </row>
    <row r="265" spans="1:10">
      <c r="A265" t="s">
        <v>963</v>
      </c>
      <c r="B265" t="s">
        <v>964</v>
      </c>
      <c r="C265">
        <v>3</v>
      </c>
      <c r="E265">
        <v>41823.213000000003</v>
      </c>
      <c r="G265">
        <v>1.5E-3</v>
      </c>
      <c r="I265" t="s">
        <v>816</v>
      </c>
      <c r="J265" t="s">
        <v>790</v>
      </c>
    </row>
    <row r="266" spans="1:10">
      <c r="A266" t="s">
        <v>963</v>
      </c>
      <c r="B266" t="s">
        <v>964</v>
      </c>
      <c r="C266">
        <v>4</v>
      </c>
      <c r="E266">
        <v>41917.1924</v>
      </c>
      <c r="G266">
        <v>1.1999999999999999E-3</v>
      </c>
      <c r="I266" t="s">
        <v>816</v>
      </c>
      <c r="J266" t="s">
        <v>790</v>
      </c>
    </row>
    <row r="267" spans="1:10">
      <c r="A267" t="s">
        <v>963</v>
      </c>
      <c r="B267" t="s">
        <v>964</v>
      </c>
      <c r="C267">
        <v>5</v>
      </c>
      <c r="E267">
        <v>42017.975100000003</v>
      </c>
      <c r="G267">
        <v>1.1000000000000001E-3</v>
      </c>
      <c r="H267">
        <v>1.1499999999999999</v>
      </c>
      <c r="I267" t="s">
        <v>816</v>
      </c>
      <c r="J267" t="s">
        <v>790</v>
      </c>
    </row>
    <row r="268" spans="1:10">
      <c r="A268" t="s">
        <v>963</v>
      </c>
      <c r="B268" t="s">
        <v>964</v>
      </c>
      <c r="C268">
        <v>6</v>
      </c>
      <c r="E268">
        <v>42123.737800000003</v>
      </c>
      <c r="G268">
        <v>1.2999999999999999E-3</v>
      </c>
      <c r="H268">
        <v>1.22</v>
      </c>
      <c r="I268" t="s">
        <v>816</v>
      </c>
      <c r="J268" t="s">
        <v>790</v>
      </c>
    </row>
    <row r="269" spans="1:10">
      <c r="A269" t="s">
        <v>963</v>
      </c>
      <c r="B269" t="s">
        <v>964</v>
      </c>
      <c r="C269">
        <v>7</v>
      </c>
      <c r="E269">
        <v>42205.377</v>
      </c>
      <c r="G269">
        <v>2E-3</v>
      </c>
      <c r="H269">
        <v>1.28</v>
      </c>
      <c r="I269" t="s">
        <v>816</v>
      </c>
      <c r="J269" t="s">
        <v>790</v>
      </c>
    </row>
    <row r="270" spans="1:10">
      <c r="A270" t="s">
        <v>962</v>
      </c>
      <c r="B270" t="s">
        <v>276</v>
      </c>
      <c r="C270">
        <v>1</v>
      </c>
      <c r="E270">
        <v>41853.813000000002</v>
      </c>
      <c r="G270">
        <v>7.0000000000000001E-3</v>
      </c>
      <c r="I270" t="s">
        <v>816</v>
      </c>
      <c r="J270" t="s">
        <v>790</v>
      </c>
    </row>
    <row r="271" spans="1:10">
      <c r="A271" t="s">
        <v>962</v>
      </c>
      <c r="B271" t="s">
        <v>276</v>
      </c>
      <c r="C271">
        <v>2</v>
      </c>
      <c r="E271">
        <v>41906.402000000002</v>
      </c>
      <c r="G271">
        <v>5.0000000000000001E-3</v>
      </c>
      <c r="I271" t="s">
        <v>816</v>
      </c>
      <c r="J271" t="s">
        <v>790</v>
      </c>
    </row>
    <row r="272" spans="1:10">
      <c r="A272" t="s">
        <v>962</v>
      </c>
      <c r="B272" t="s">
        <v>276</v>
      </c>
      <c r="C272">
        <v>3</v>
      </c>
      <c r="E272">
        <v>41985.701000000001</v>
      </c>
      <c r="G272">
        <v>0.01</v>
      </c>
      <c r="I272" t="s">
        <v>816</v>
      </c>
      <c r="J272" t="s">
        <v>790</v>
      </c>
    </row>
    <row r="273" spans="1:10">
      <c r="A273" t="s">
        <v>962</v>
      </c>
      <c r="B273" t="s">
        <v>276</v>
      </c>
      <c r="C273">
        <v>4</v>
      </c>
      <c r="E273">
        <v>42092.235999999997</v>
      </c>
      <c r="G273">
        <v>6.0000000000000001E-3</v>
      </c>
      <c r="I273" t="s">
        <v>816</v>
      </c>
      <c r="J273" t="s">
        <v>790</v>
      </c>
    </row>
    <row r="274" spans="1:10">
      <c r="A274" t="s">
        <v>962</v>
      </c>
      <c r="B274" t="s">
        <v>276</v>
      </c>
      <c r="C274">
        <v>5</v>
      </c>
      <c r="E274">
        <v>42225.88</v>
      </c>
      <c r="G274">
        <v>6.0000000000000001E-3</v>
      </c>
      <c r="I274" t="s">
        <v>816</v>
      </c>
      <c r="J274" t="s">
        <v>790</v>
      </c>
    </row>
    <row r="275" spans="1:10">
      <c r="A275" t="s">
        <v>963</v>
      </c>
      <c r="B275" t="s">
        <v>511</v>
      </c>
      <c r="C275">
        <v>3</v>
      </c>
      <c r="E275">
        <v>41867.781199999998</v>
      </c>
      <c r="G275">
        <v>1.4E-3</v>
      </c>
      <c r="I275" t="s">
        <v>816</v>
      </c>
      <c r="J275" t="s">
        <v>790</v>
      </c>
    </row>
    <row r="276" spans="1:10">
      <c r="A276" t="s">
        <v>963</v>
      </c>
      <c r="B276" t="s">
        <v>511</v>
      </c>
      <c r="C276">
        <v>4</v>
      </c>
      <c r="E276">
        <v>41975.424899999998</v>
      </c>
      <c r="G276">
        <v>1.5E-3</v>
      </c>
      <c r="I276" t="s">
        <v>816</v>
      </c>
      <c r="J276" t="s">
        <v>790</v>
      </c>
    </row>
    <row r="277" spans="1:10">
      <c r="A277" t="s">
        <v>963</v>
      </c>
      <c r="B277" t="s">
        <v>511</v>
      </c>
      <c r="C277">
        <v>5</v>
      </c>
      <c r="E277">
        <v>42169.649599999997</v>
      </c>
      <c r="G277">
        <v>1.2999999999999999E-3</v>
      </c>
      <c r="I277" t="s">
        <v>816</v>
      </c>
      <c r="J277" t="s">
        <v>790</v>
      </c>
    </row>
    <row r="278" spans="1:10">
      <c r="A278" t="s">
        <v>963</v>
      </c>
      <c r="B278" t="s">
        <v>133</v>
      </c>
      <c r="C278">
        <v>0</v>
      </c>
      <c r="E278">
        <v>41871.364999999998</v>
      </c>
      <c r="G278">
        <v>5.0000000000000001E-3</v>
      </c>
      <c r="I278" t="s">
        <v>816</v>
      </c>
      <c r="J278" t="s">
        <v>790</v>
      </c>
    </row>
    <row r="279" spans="1:10">
      <c r="A279" t="s">
        <v>963</v>
      </c>
      <c r="B279" t="s">
        <v>133</v>
      </c>
      <c r="C279">
        <v>1</v>
      </c>
      <c r="E279">
        <v>41901.377099999998</v>
      </c>
      <c r="G279">
        <v>1.5E-3</v>
      </c>
      <c r="I279" t="s">
        <v>816</v>
      </c>
      <c r="J279" t="s">
        <v>790</v>
      </c>
    </row>
    <row r="280" spans="1:10">
      <c r="A280" t="s">
        <v>963</v>
      </c>
      <c r="B280" t="s">
        <v>133</v>
      </c>
      <c r="C280">
        <v>2</v>
      </c>
      <c r="E280">
        <v>41958.4833</v>
      </c>
      <c r="G280">
        <v>1.2999999999999999E-3</v>
      </c>
      <c r="I280" t="s">
        <v>816</v>
      </c>
      <c r="J280" t="s">
        <v>790</v>
      </c>
    </row>
    <row r="281" spans="1:10">
      <c r="A281" t="s">
        <v>963</v>
      </c>
      <c r="B281" t="s">
        <v>133</v>
      </c>
      <c r="C281">
        <v>3</v>
      </c>
      <c r="E281">
        <v>42052.771699999998</v>
      </c>
      <c r="G281">
        <v>1.1999999999999999E-3</v>
      </c>
      <c r="I281" t="s">
        <v>816</v>
      </c>
      <c r="J281" t="s">
        <v>790</v>
      </c>
    </row>
    <row r="282" spans="1:10">
      <c r="A282" t="s">
        <v>963</v>
      </c>
      <c r="B282" t="s">
        <v>133</v>
      </c>
      <c r="C282">
        <v>4</v>
      </c>
      <c r="E282">
        <v>42184.626100000001</v>
      </c>
      <c r="G282">
        <v>1E-3</v>
      </c>
      <c r="I282" t="s">
        <v>816</v>
      </c>
      <c r="J282" t="s">
        <v>790</v>
      </c>
    </row>
    <row r="283" spans="1:10">
      <c r="A283" t="s">
        <v>963</v>
      </c>
      <c r="B283" t="s">
        <v>965</v>
      </c>
      <c r="C283">
        <v>2</v>
      </c>
      <c r="E283">
        <v>41871.864200000004</v>
      </c>
      <c r="G283">
        <v>1.6999999999999999E-3</v>
      </c>
      <c r="I283" t="s">
        <v>816</v>
      </c>
      <c r="J283" t="s">
        <v>790</v>
      </c>
    </row>
    <row r="284" spans="1:10">
      <c r="A284" t="s">
        <v>963</v>
      </c>
      <c r="B284" t="s">
        <v>965</v>
      </c>
      <c r="C284">
        <v>3</v>
      </c>
      <c r="E284">
        <v>41988.525900000001</v>
      </c>
      <c r="G284">
        <v>1.1999999999999999E-3</v>
      </c>
      <c r="I284" t="s">
        <v>816</v>
      </c>
      <c r="J284" t="s">
        <v>790</v>
      </c>
    </row>
    <row r="285" spans="1:10">
      <c r="A285" t="s">
        <v>963</v>
      </c>
      <c r="B285" t="s">
        <v>965</v>
      </c>
      <c r="C285">
        <v>4</v>
      </c>
      <c r="E285">
        <v>42107.054499999998</v>
      </c>
      <c r="G285">
        <v>8.9999999999999998E-4</v>
      </c>
      <c r="I285" t="s">
        <v>816</v>
      </c>
      <c r="J285" t="s">
        <v>790</v>
      </c>
    </row>
    <row r="286" spans="1:10">
      <c r="A286" t="s">
        <v>923</v>
      </c>
      <c r="B286" t="s">
        <v>966</v>
      </c>
      <c r="C286">
        <v>2</v>
      </c>
      <c r="E286">
        <v>41928.525999999998</v>
      </c>
      <c r="G286">
        <v>8.9999999999999993E-3</v>
      </c>
      <c r="H286">
        <v>1.498</v>
      </c>
      <c r="I286" t="s">
        <v>967</v>
      </c>
      <c r="J286" t="s">
        <v>790</v>
      </c>
    </row>
    <row r="287" spans="1:10">
      <c r="A287" t="s">
        <v>923</v>
      </c>
      <c r="B287" t="s">
        <v>966</v>
      </c>
      <c r="C287">
        <v>1</v>
      </c>
      <c r="E287">
        <v>41943.883999999998</v>
      </c>
      <c r="G287">
        <v>6.0000000000000001E-3</v>
      </c>
      <c r="H287">
        <v>1.4970000000000001</v>
      </c>
      <c r="I287" t="s">
        <v>968</v>
      </c>
      <c r="J287" t="s">
        <v>790</v>
      </c>
    </row>
    <row r="288" spans="1:10">
      <c r="A288" t="s">
        <v>923</v>
      </c>
      <c r="B288" t="s">
        <v>966</v>
      </c>
      <c r="C288">
        <v>0</v>
      </c>
      <c r="E288">
        <v>41959.292999999998</v>
      </c>
      <c r="G288">
        <v>0.01</v>
      </c>
      <c r="I288" t="s">
        <v>969</v>
      </c>
      <c r="J288" t="s">
        <v>790</v>
      </c>
    </row>
    <row r="289" spans="1:10">
      <c r="A289" t="s">
        <v>908</v>
      </c>
      <c r="B289" t="s">
        <v>970</v>
      </c>
      <c r="C289">
        <v>1</v>
      </c>
      <c r="E289">
        <v>42146.347999999998</v>
      </c>
      <c r="G289">
        <v>5.0000000000000001E-3</v>
      </c>
      <c r="H289">
        <v>0.51</v>
      </c>
      <c r="I289" t="s">
        <v>971</v>
      </c>
      <c r="J289" t="s">
        <v>790</v>
      </c>
    </row>
    <row r="290" spans="1:10">
      <c r="A290" t="s">
        <v>908</v>
      </c>
      <c r="B290" t="s">
        <v>970</v>
      </c>
      <c r="C290">
        <v>2</v>
      </c>
      <c r="E290">
        <v>42206.754999999997</v>
      </c>
      <c r="G290">
        <v>5.0000000000000001E-3</v>
      </c>
      <c r="H290">
        <v>1.163</v>
      </c>
      <c r="I290" t="s">
        <v>972</v>
      </c>
      <c r="J290" t="s">
        <v>790</v>
      </c>
    </row>
    <row r="291" spans="1:10">
      <c r="A291" t="s">
        <v>908</v>
      </c>
      <c r="B291" t="s">
        <v>970</v>
      </c>
      <c r="C291">
        <v>3</v>
      </c>
      <c r="E291">
        <v>42311.264000000003</v>
      </c>
      <c r="G291">
        <v>5.0000000000000001E-3</v>
      </c>
      <c r="H291">
        <v>1.3320000000000001</v>
      </c>
      <c r="I291" t="s">
        <v>973</v>
      </c>
      <c r="J291" t="s">
        <v>790</v>
      </c>
    </row>
    <row r="292" spans="1:10">
      <c r="A292" t="s">
        <v>962</v>
      </c>
      <c r="B292" t="s">
        <v>271</v>
      </c>
      <c r="C292">
        <v>0</v>
      </c>
      <c r="E292">
        <v>42152.472000000002</v>
      </c>
      <c r="G292">
        <v>8.9999999999999993E-3</v>
      </c>
      <c r="I292" t="s">
        <v>816</v>
      </c>
      <c r="J292" t="s">
        <v>790</v>
      </c>
    </row>
    <row r="293" spans="1:10">
      <c r="A293" t="s">
        <v>962</v>
      </c>
      <c r="B293" t="s">
        <v>271</v>
      </c>
      <c r="C293">
        <v>1</v>
      </c>
      <c r="E293">
        <v>42193.949000000001</v>
      </c>
      <c r="G293">
        <v>4.0000000000000001E-3</v>
      </c>
      <c r="I293" t="s">
        <v>816</v>
      </c>
      <c r="J293" t="s">
        <v>790</v>
      </c>
    </row>
    <row r="294" spans="1:10">
      <c r="A294" t="s">
        <v>962</v>
      </c>
      <c r="B294" t="s">
        <v>271</v>
      </c>
      <c r="C294">
        <v>2</v>
      </c>
      <c r="E294">
        <v>42269.726999999999</v>
      </c>
      <c r="G294">
        <v>7.0000000000000001E-3</v>
      </c>
      <c r="I294" t="s">
        <v>816</v>
      </c>
      <c r="J294" t="s">
        <v>790</v>
      </c>
    </row>
    <row r="295" spans="1:10">
      <c r="A295" t="s">
        <v>962</v>
      </c>
      <c r="B295" t="s">
        <v>271</v>
      </c>
      <c r="C295">
        <v>3</v>
      </c>
      <c r="E295">
        <v>42376.495000000003</v>
      </c>
      <c r="G295">
        <v>6.0000000000000001E-3</v>
      </c>
      <c r="I295" t="s">
        <v>816</v>
      </c>
      <c r="J295" t="s">
        <v>790</v>
      </c>
    </row>
    <row r="296" spans="1:10">
      <c r="A296" t="s">
        <v>962</v>
      </c>
      <c r="B296" t="s">
        <v>271</v>
      </c>
      <c r="C296">
        <v>4</v>
      </c>
      <c r="E296">
        <v>42505.322</v>
      </c>
      <c r="G296">
        <v>8.9999999999999993E-3</v>
      </c>
      <c r="I296" t="s">
        <v>816</v>
      </c>
      <c r="J296" t="s">
        <v>790</v>
      </c>
    </row>
    <row r="297" spans="1:10">
      <c r="A297" t="s">
        <v>974</v>
      </c>
      <c r="B297" t="s">
        <v>266</v>
      </c>
      <c r="C297">
        <v>1</v>
      </c>
      <c r="E297">
        <v>42190.8217</v>
      </c>
      <c r="G297">
        <v>1.9E-3</v>
      </c>
      <c r="I297" t="s">
        <v>816</v>
      </c>
      <c r="J297" t="s">
        <v>790</v>
      </c>
    </row>
    <row r="298" spans="1:10">
      <c r="A298" t="s">
        <v>974</v>
      </c>
      <c r="B298" t="s">
        <v>266</v>
      </c>
      <c r="C298">
        <v>2</v>
      </c>
      <c r="E298">
        <v>42366.7719</v>
      </c>
      <c r="G298">
        <v>1.1999999999999999E-3</v>
      </c>
      <c r="I298" t="s">
        <v>816</v>
      </c>
      <c r="J298" t="s">
        <v>790</v>
      </c>
    </row>
    <row r="299" spans="1:10">
      <c r="A299" t="s">
        <v>963</v>
      </c>
      <c r="B299" t="s">
        <v>892</v>
      </c>
      <c r="C299">
        <v>4</v>
      </c>
      <c r="E299">
        <v>42214.768900000003</v>
      </c>
      <c r="G299">
        <v>1.1000000000000001E-3</v>
      </c>
      <c r="I299" t="s">
        <v>816</v>
      </c>
      <c r="J299" t="s">
        <v>790</v>
      </c>
    </row>
    <row r="300" spans="1:10">
      <c r="A300" t="s">
        <v>963</v>
      </c>
      <c r="B300" t="s">
        <v>892</v>
      </c>
      <c r="C300">
        <v>5</v>
      </c>
      <c r="E300">
        <v>42368.093399999998</v>
      </c>
      <c r="G300">
        <v>1.1999999999999999E-3</v>
      </c>
      <c r="I300" t="s">
        <v>816</v>
      </c>
      <c r="J300" t="s">
        <v>790</v>
      </c>
    </row>
    <row r="301" spans="1:10">
      <c r="A301" t="s">
        <v>963</v>
      </c>
      <c r="B301" t="s">
        <v>892</v>
      </c>
      <c r="C301">
        <v>6</v>
      </c>
      <c r="E301">
        <v>42530.289400000001</v>
      </c>
      <c r="G301">
        <v>1.6000000000000001E-3</v>
      </c>
      <c r="I301" t="s">
        <v>816</v>
      </c>
      <c r="J301" t="s">
        <v>790</v>
      </c>
    </row>
    <row r="302" spans="1:10">
      <c r="A302" t="s">
        <v>963</v>
      </c>
      <c r="B302" t="s">
        <v>175</v>
      </c>
      <c r="C302">
        <v>1</v>
      </c>
      <c r="E302">
        <v>42611.451000000001</v>
      </c>
      <c r="G302">
        <v>1.6999999999999999E-3</v>
      </c>
      <c r="I302" t="s">
        <v>816</v>
      </c>
      <c r="J302" t="s">
        <v>790</v>
      </c>
    </row>
    <row r="303" spans="1:10">
      <c r="A303" t="s">
        <v>963</v>
      </c>
      <c r="B303" t="s">
        <v>175</v>
      </c>
      <c r="C303">
        <v>2</v>
      </c>
      <c r="E303">
        <v>42723.985500000003</v>
      </c>
      <c r="G303">
        <v>1.2999999999999999E-3</v>
      </c>
      <c r="I303" t="s">
        <v>816</v>
      </c>
      <c r="J303" t="s">
        <v>790</v>
      </c>
    </row>
    <row r="304" spans="1:10">
      <c r="A304" t="s">
        <v>963</v>
      </c>
      <c r="B304" t="s">
        <v>175</v>
      </c>
      <c r="C304">
        <v>3</v>
      </c>
      <c r="E304">
        <v>42858.766100000001</v>
      </c>
      <c r="G304">
        <v>1.2999999999999999E-3</v>
      </c>
      <c r="H304">
        <v>1.64</v>
      </c>
      <c r="I304" t="s">
        <v>816</v>
      </c>
      <c r="J304" t="s">
        <v>790</v>
      </c>
    </row>
    <row r="305" spans="1:10">
      <c r="A305" t="s">
        <v>963</v>
      </c>
      <c r="B305" t="s">
        <v>257</v>
      </c>
      <c r="C305">
        <v>1</v>
      </c>
      <c r="E305">
        <v>42654.367400000003</v>
      </c>
      <c r="G305">
        <v>1.5E-3</v>
      </c>
      <c r="I305" t="s">
        <v>816</v>
      </c>
      <c r="J305" t="s">
        <v>790</v>
      </c>
    </row>
    <row r="306" spans="1:10">
      <c r="A306" t="s">
        <v>963</v>
      </c>
      <c r="B306" t="s">
        <v>257</v>
      </c>
      <c r="C306">
        <v>2</v>
      </c>
      <c r="E306">
        <v>42770.174500000001</v>
      </c>
      <c r="G306">
        <v>1.4E-3</v>
      </c>
      <c r="I306" t="s">
        <v>816</v>
      </c>
      <c r="J306" t="s">
        <v>790</v>
      </c>
    </row>
    <row r="307" spans="1:10">
      <c r="A307" t="s">
        <v>963</v>
      </c>
      <c r="B307" t="s">
        <v>257</v>
      </c>
      <c r="C307">
        <v>3</v>
      </c>
      <c r="E307">
        <v>42906.272700000001</v>
      </c>
      <c r="G307">
        <v>1.6999999999999999E-3</v>
      </c>
      <c r="I307" t="s">
        <v>816</v>
      </c>
      <c r="J307" t="s">
        <v>790</v>
      </c>
    </row>
    <row r="308" spans="1:10">
      <c r="A308" t="s">
        <v>923</v>
      </c>
      <c r="B308" t="s">
        <v>298</v>
      </c>
      <c r="C308">
        <v>2</v>
      </c>
      <c r="E308">
        <v>42927.337</v>
      </c>
      <c r="G308">
        <v>7.0000000000000001E-3</v>
      </c>
      <c r="H308">
        <v>1.0009999999999999</v>
      </c>
      <c r="I308" t="s">
        <v>975</v>
      </c>
      <c r="J308" t="s">
        <v>790</v>
      </c>
    </row>
    <row r="309" spans="1:10">
      <c r="A309" t="s">
        <v>846</v>
      </c>
      <c r="B309" t="s">
        <v>976</v>
      </c>
      <c r="C309">
        <v>2</v>
      </c>
      <c r="E309">
        <v>42957.091999999997</v>
      </c>
      <c r="G309">
        <v>3.0000000000000001E-3</v>
      </c>
      <c r="I309" t="s">
        <v>816</v>
      </c>
      <c r="J309" t="s">
        <v>790</v>
      </c>
    </row>
    <row r="310" spans="1:10">
      <c r="A310" t="s">
        <v>846</v>
      </c>
      <c r="B310" t="s">
        <v>976</v>
      </c>
      <c r="C310">
        <v>3</v>
      </c>
      <c r="E310">
        <v>42965.914799999999</v>
      </c>
      <c r="G310">
        <v>1.8E-3</v>
      </c>
      <c r="I310" t="s">
        <v>816</v>
      </c>
      <c r="J310" t="s">
        <v>790</v>
      </c>
    </row>
    <row r="311" spans="1:10">
      <c r="A311" t="s">
        <v>846</v>
      </c>
      <c r="B311" t="s">
        <v>976</v>
      </c>
      <c r="C311">
        <v>4</v>
      </c>
      <c r="E311">
        <v>43009.493699999999</v>
      </c>
      <c r="G311">
        <v>1.6999999999999999E-3</v>
      </c>
      <c r="I311" t="s">
        <v>816</v>
      </c>
      <c r="J311" t="s">
        <v>790</v>
      </c>
    </row>
    <row r="312" spans="1:10">
      <c r="A312" t="s">
        <v>963</v>
      </c>
      <c r="B312" t="s">
        <v>977</v>
      </c>
      <c r="C312">
        <v>1</v>
      </c>
      <c r="E312">
        <v>43033.932999999997</v>
      </c>
      <c r="G312">
        <v>2E-3</v>
      </c>
      <c r="I312" t="s">
        <v>816</v>
      </c>
      <c r="J312" t="s">
        <v>790</v>
      </c>
    </row>
    <row r="313" spans="1:10">
      <c r="A313" t="s">
        <v>963</v>
      </c>
      <c r="B313" t="s">
        <v>977</v>
      </c>
      <c r="C313">
        <v>2</v>
      </c>
      <c r="E313">
        <v>43080.962200000002</v>
      </c>
      <c r="G313">
        <v>1.2999999999999999E-3</v>
      </c>
      <c r="I313" t="s">
        <v>816</v>
      </c>
      <c r="J313" t="s">
        <v>790</v>
      </c>
    </row>
    <row r="314" spans="1:10">
      <c r="A314" t="s">
        <v>963</v>
      </c>
      <c r="B314" t="s">
        <v>977</v>
      </c>
      <c r="C314">
        <v>3</v>
      </c>
      <c r="E314">
        <v>43148.192199999998</v>
      </c>
      <c r="G314">
        <v>1.1000000000000001E-3</v>
      </c>
      <c r="I314" t="s">
        <v>816</v>
      </c>
      <c r="J314" t="s">
        <v>790</v>
      </c>
    </row>
    <row r="315" spans="1:10">
      <c r="A315" t="s">
        <v>963</v>
      </c>
      <c r="B315" t="s">
        <v>977</v>
      </c>
      <c r="C315">
        <v>4</v>
      </c>
      <c r="E315">
        <v>43231.990299999998</v>
      </c>
      <c r="G315">
        <v>1.1000000000000001E-3</v>
      </c>
      <c r="I315" t="s">
        <v>816</v>
      </c>
      <c r="J315" t="s">
        <v>790</v>
      </c>
    </row>
    <row r="316" spans="1:10">
      <c r="A316" t="s">
        <v>963</v>
      </c>
      <c r="B316" t="s">
        <v>977</v>
      </c>
      <c r="C316">
        <v>5</v>
      </c>
      <c r="E316">
        <v>43330.006600000001</v>
      </c>
      <c r="G316">
        <v>1.1999999999999999E-3</v>
      </c>
      <c r="I316" t="s">
        <v>816</v>
      </c>
      <c r="J316" t="s">
        <v>790</v>
      </c>
    </row>
    <row r="317" spans="1:10">
      <c r="A317" t="s">
        <v>846</v>
      </c>
      <c r="B317" t="s">
        <v>385</v>
      </c>
      <c r="C317">
        <v>3</v>
      </c>
      <c r="E317">
        <v>43411.059000000001</v>
      </c>
      <c r="G317">
        <v>7.0000000000000001E-3</v>
      </c>
      <c r="I317" t="s">
        <v>816</v>
      </c>
      <c r="J317" t="s">
        <v>790</v>
      </c>
    </row>
    <row r="318" spans="1:10">
      <c r="A318" t="s">
        <v>962</v>
      </c>
      <c r="B318" t="s">
        <v>978</v>
      </c>
      <c r="C318">
        <v>2</v>
      </c>
      <c r="E318">
        <v>43467.536999999997</v>
      </c>
      <c r="G318">
        <v>5.0000000000000001E-3</v>
      </c>
      <c r="I318" t="s">
        <v>816</v>
      </c>
      <c r="J318" t="s">
        <v>790</v>
      </c>
    </row>
    <row r="319" spans="1:10">
      <c r="A319" t="s">
        <v>962</v>
      </c>
      <c r="B319" t="s">
        <v>978</v>
      </c>
      <c r="C319">
        <v>3</v>
      </c>
      <c r="E319">
        <v>43583.355000000003</v>
      </c>
      <c r="G319">
        <v>4.0000000000000001E-3</v>
      </c>
      <c r="I319" t="s">
        <v>816</v>
      </c>
      <c r="J319" t="s">
        <v>790</v>
      </c>
    </row>
    <row r="320" spans="1:10">
      <c r="A320" t="s">
        <v>962</v>
      </c>
      <c r="B320" t="s">
        <v>978</v>
      </c>
      <c r="C320">
        <v>4</v>
      </c>
      <c r="E320">
        <v>43744.792999999998</v>
      </c>
      <c r="G320">
        <v>5.0000000000000001E-3</v>
      </c>
      <c r="I320" t="s">
        <v>816</v>
      </c>
      <c r="J320" t="s">
        <v>790</v>
      </c>
    </row>
    <row r="321" spans="1:10">
      <c r="A321" t="s">
        <v>979</v>
      </c>
      <c r="B321" t="s">
        <v>470</v>
      </c>
      <c r="C321">
        <v>2</v>
      </c>
      <c r="E321">
        <v>43592.120300000002</v>
      </c>
      <c r="G321">
        <v>1.9E-3</v>
      </c>
      <c r="I321" t="s">
        <v>816</v>
      </c>
      <c r="J321" t="s">
        <v>790</v>
      </c>
    </row>
    <row r="322" spans="1:10">
      <c r="A322" t="s">
        <v>979</v>
      </c>
      <c r="B322" t="s">
        <v>470</v>
      </c>
      <c r="C322">
        <v>3</v>
      </c>
      <c r="E322">
        <v>43636.538800000002</v>
      </c>
      <c r="G322">
        <v>1.5E-3</v>
      </c>
      <c r="I322" t="s">
        <v>816</v>
      </c>
      <c r="J322" t="s">
        <v>790</v>
      </c>
    </row>
    <row r="323" spans="1:10">
      <c r="A323" t="s">
        <v>979</v>
      </c>
      <c r="B323" t="s">
        <v>470</v>
      </c>
      <c r="C323">
        <v>4</v>
      </c>
      <c r="E323">
        <v>43699.018700000001</v>
      </c>
      <c r="G323">
        <v>1.4E-3</v>
      </c>
      <c r="I323" t="s">
        <v>816</v>
      </c>
      <c r="J323" t="s">
        <v>790</v>
      </c>
    </row>
    <row r="324" spans="1:10">
      <c r="A324" t="s">
        <v>979</v>
      </c>
      <c r="B324" t="s">
        <v>470</v>
      </c>
      <c r="C324">
        <v>5</v>
      </c>
      <c r="E324">
        <v>43781.835299999999</v>
      </c>
      <c r="G324">
        <v>1.2999999999999999E-3</v>
      </c>
      <c r="I324" t="s">
        <v>816</v>
      </c>
      <c r="J324" t="s">
        <v>790</v>
      </c>
    </row>
    <row r="325" spans="1:10">
      <c r="A325" t="s">
        <v>979</v>
      </c>
      <c r="B325" t="s">
        <v>470</v>
      </c>
      <c r="C325">
        <v>6</v>
      </c>
      <c r="E325">
        <v>43888.070800000001</v>
      </c>
      <c r="G325">
        <v>1.4E-3</v>
      </c>
      <c r="I325" t="s">
        <v>816</v>
      </c>
      <c r="J325" t="s">
        <v>790</v>
      </c>
    </row>
    <row r="326" spans="1:10">
      <c r="A326" t="s">
        <v>900</v>
      </c>
      <c r="B326" t="s">
        <v>980</v>
      </c>
      <c r="C326">
        <v>2</v>
      </c>
      <c r="E326">
        <v>43799.470999999998</v>
      </c>
      <c r="G326">
        <v>7.0000000000000001E-3</v>
      </c>
      <c r="H326">
        <v>1.002</v>
      </c>
      <c r="I326" t="s">
        <v>981</v>
      </c>
      <c r="J326" t="s">
        <v>790</v>
      </c>
    </row>
    <row r="327" spans="1:10">
      <c r="A327" t="s">
        <v>982</v>
      </c>
      <c r="B327" t="s">
        <v>272</v>
      </c>
      <c r="C327">
        <v>2</v>
      </c>
      <c r="E327">
        <v>43814.152000000002</v>
      </c>
      <c r="G327">
        <v>0.01</v>
      </c>
      <c r="I327" t="s">
        <v>816</v>
      </c>
      <c r="J327" t="s">
        <v>790</v>
      </c>
    </row>
    <row r="328" spans="1:10">
      <c r="A328" t="s">
        <v>982</v>
      </c>
      <c r="B328" t="s">
        <v>272</v>
      </c>
      <c r="C328">
        <v>3</v>
      </c>
      <c r="E328">
        <v>43868.254999999997</v>
      </c>
      <c r="G328">
        <v>8.9999999999999993E-3</v>
      </c>
      <c r="I328" t="s">
        <v>816</v>
      </c>
      <c r="J328" t="s">
        <v>790</v>
      </c>
    </row>
    <row r="329" spans="1:10">
      <c r="A329" t="s">
        <v>982</v>
      </c>
      <c r="B329" t="s">
        <v>272</v>
      </c>
      <c r="C329">
        <v>4</v>
      </c>
      <c r="E329">
        <v>43940.688999999998</v>
      </c>
      <c r="G329">
        <v>7.0000000000000001E-3</v>
      </c>
      <c r="I329" t="s">
        <v>816</v>
      </c>
      <c r="J329" t="s">
        <v>790</v>
      </c>
    </row>
    <row r="330" spans="1:10">
      <c r="A330" t="s">
        <v>982</v>
      </c>
      <c r="B330" t="s">
        <v>272</v>
      </c>
      <c r="C330">
        <v>5</v>
      </c>
      <c r="E330">
        <v>44031.243999999999</v>
      </c>
      <c r="G330">
        <v>8.9999999999999993E-3</v>
      </c>
      <c r="I330" t="s">
        <v>816</v>
      </c>
      <c r="J330" t="s">
        <v>790</v>
      </c>
    </row>
    <row r="331" spans="1:10">
      <c r="A331" t="s">
        <v>982</v>
      </c>
      <c r="B331" t="s">
        <v>272</v>
      </c>
      <c r="C331">
        <v>6</v>
      </c>
      <c r="E331">
        <v>44139.771999999997</v>
      </c>
      <c r="G331">
        <v>1.2E-2</v>
      </c>
      <c r="I331" t="s">
        <v>816</v>
      </c>
      <c r="J331" t="s">
        <v>790</v>
      </c>
    </row>
    <row r="332" spans="1:10">
      <c r="A332" t="s">
        <v>979</v>
      </c>
      <c r="B332" t="s">
        <v>983</v>
      </c>
      <c r="C332">
        <v>3</v>
      </c>
      <c r="E332">
        <v>43843.741000000002</v>
      </c>
      <c r="G332">
        <v>2E-3</v>
      </c>
      <c r="I332" t="s">
        <v>816</v>
      </c>
      <c r="J332" t="s">
        <v>790</v>
      </c>
    </row>
    <row r="333" spans="1:10">
      <c r="A333" t="s">
        <v>979</v>
      </c>
      <c r="B333" t="s">
        <v>983</v>
      </c>
      <c r="C333">
        <v>4</v>
      </c>
      <c r="E333">
        <v>43901.654799999997</v>
      </c>
      <c r="G333">
        <v>1.5E-3</v>
      </c>
      <c r="H333">
        <v>0.91</v>
      </c>
      <c r="I333" t="s">
        <v>816</v>
      </c>
      <c r="J333" t="s">
        <v>790</v>
      </c>
    </row>
    <row r="334" spans="1:10">
      <c r="A334" t="s">
        <v>979</v>
      </c>
      <c r="B334" t="s">
        <v>983</v>
      </c>
      <c r="C334">
        <v>5</v>
      </c>
      <c r="E334">
        <v>43971.546699999999</v>
      </c>
      <c r="G334">
        <v>1.6000000000000001E-3</v>
      </c>
      <c r="H334">
        <v>1.1100000000000001</v>
      </c>
      <c r="I334" t="s">
        <v>816</v>
      </c>
      <c r="J334" t="s">
        <v>790</v>
      </c>
    </row>
    <row r="335" spans="1:10">
      <c r="A335" t="s">
        <v>979</v>
      </c>
      <c r="B335" t="s">
        <v>983</v>
      </c>
      <c r="C335">
        <v>6</v>
      </c>
      <c r="E335">
        <v>44051.335099999997</v>
      </c>
      <c r="G335">
        <v>1.6999999999999999E-3</v>
      </c>
      <c r="H335">
        <v>1.21</v>
      </c>
      <c r="I335" t="s">
        <v>816</v>
      </c>
      <c r="J335" t="s">
        <v>790</v>
      </c>
    </row>
    <row r="336" spans="1:10">
      <c r="A336" t="s">
        <v>979</v>
      </c>
      <c r="B336" t="s">
        <v>983</v>
      </c>
      <c r="C336">
        <v>7</v>
      </c>
      <c r="E336">
        <v>44134.658000000003</v>
      </c>
      <c r="G336">
        <v>4.0000000000000001E-3</v>
      </c>
      <c r="H336">
        <v>1.29</v>
      </c>
      <c r="I336" t="s">
        <v>816</v>
      </c>
      <c r="J336" t="s">
        <v>790</v>
      </c>
    </row>
    <row r="337" spans="1:10">
      <c r="A337" t="s">
        <v>979</v>
      </c>
      <c r="B337" t="s">
        <v>346</v>
      </c>
      <c r="C337">
        <v>1</v>
      </c>
      <c r="E337">
        <v>43875.514000000003</v>
      </c>
      <c r="G337">
        <v>3.0000000000000001E-3</v>
      </c>
      <c r="I337" t="s">
        <v>816</v>
      </c>
      <c r="J337" t="s">
        <v>790</v>
      </c>
    </row>
    <row r="338" spans="1:10">
      <c r="A338" t="s">
        <v>979</v>
      </c>
      <c r="B338" t="s">
        <v>346</v>
      </c>
      <c r="C338">
        <v>2</v>
      </c>
      <c r="E338">
        <v>43914.044999999998</v>
      </c>
      <c r="G338">
        <v>1.6999999999999999E-3</v>
      </c>
      <c r="I338" t="s">
        <v>816</v>
      </c>
      <c r="J338" t="s">
        <v>790</v>
      </c>
    </row>
    <row r="339" spans="1:10">
      <c r="A339" t="s">
        <v>979</v>
      </c>
      <c r="B339" t="s">
        <v>346</v>
      </c>
      <c r="C339">
        <v>3</v>
      </c>
      <c r="E339">
        <v>43969.646000000001</v>
      </c>
      <c r="G339">
        <v>1.5E-3</v>
      </c>
      <c r="I339" t="s">
        <v>816</v>
      </c>
      <c r="J339" t="s">
        <v>790</v>
      </c>
    </row>
    <row r="340" spans="1:10">
      <c r="A340" t="s">
        <v>979</v>
      </c>
      <c r="B340" t="s">
        <v>346</v>
      </c>
      <c r="C340">
        <v>4</v>
      </c>
      <c r="E340">
        <v>44040.094100000002</v>
      </c>
      <c r="G340">
        <v>1.2999999999999999E-3</v>
      </c>
      <c r="I340" t="s">
        <v>816</v>
      </c>
      <c r="J340" t="s">
        <v>790</v>
      </c>
    </row>
    <row r="341" spans="1:10">
      <c r="A341" t="s">
        <v>979</v>
      </c>
      <c r="B341" t="s">
        <v>346</v>
      </c>
      <c r="C341">
        <v>5</v>
      </c>
      <c r="E341">
        <v>44122.981800000001</v>
      </c>
      <c r="G341">
        <v>1.5E-3</v>
      </c>
      <c r="I341" t="s">
        <v>816</v>
      </c>
      <c r="J341" t="s">
        <v>790</v>
      </c>
    </row>
    <row r="342" spans="1:10">
      <c r="A342" t="s">
        <v>962</v>
      </c>
      <c r="B342" t="s">
        <v>984</v>
      </c>
      <c r="C342">
        <v>1</v>
      </c>
      <c r="E342">
        <v>43975.714999999997</v>
      </c>
      <c r="G342">
        <v>8.0000000000000002E-3</v>
      </c>
      <c r="I342" t="s">
        <v>816</v>
      </c>
      <c r="J342" t="s">
        <v>790</v>
      </c>
    </row>
    <row r="343" spans="1:10">
      <c r="A343" t="s">
        <v>962</v>
      </c>
      <c r="B343" t="s">
        <v>984</v>
      </c>
      <c r="C343">
        <v>2</v>
      </c>
      <c r="E343">
        <v>44079.760999999999</v>
      </c>
      <c r="G343">
        <v>6.0000000000000001E-3</v>
      </c>
      <c r="I343" t="s">
        <v>816</v>
      </c>
      <c r="J343" t="s">
        <v>790</v>
      </c>
    </row>
    <row r="344" spans="1:10">
      <c r="A344" t="s">
        <v>962</v>
      </c>
      <c r="B344" t="s">
        <v>984</v>
      </c>
      <c r="C344">
        <v>3</v>
      </c>
      <c r="E344">
        <v>44233.62</v>
      </c>
      <c r="G344">
        <v>6.0000000000000001E-3</v>
      </c>
      <c r="I344" t="s">
        <v>816</v>
      </c>
      <c r="J344" t="s">
        <v>790</v>
      </c>
    </row>
    <row r="345" spans="1:10">
      <c r="A345" t="s">
        <v>885</v>
      </c>
      <c r="B345" t="s">
        <v>985</v>
      </c>
      <c r="C345">
        <v>2</v>
      </c>
      <c r="E345">
        <v>43980.372000000003</v>
      </c>
      <c r="G345">
        <v>2E-3</v>
      </c>
      <c r="I345" t="s">
        <v>816</v>
      </c>
      <c r="J345" t="s">
        <v>790</v>
      </c>
    </row>
    <row r="346" spans="1:10">
      <c r="A346" t="s">
        <v>885</v>
      </c>
      <c r="B346" t="s">
        <v>985</v>
      </c>
      <c r="C346">
        <v>3</v>
      </c>
      <c r="E346">
        <v>44110.591999999997</v>
      </c>
      <c r="G346">
        <v>2E-3</v>
      </c>
      <c r="I346" t="s">
        <v>816</v>
      </c>
      <c r="J346" t="s">
        <v>790</v>
      </c>
    </row>
    <row r="347" spans="1:10">
      <c r="A347" t="s">
        <v>962</v>
      </c>
      <c r="B347" t="s">
        <v>293</v>
      </c>
      <c r="C347">
        <v>3</v>
      </c>
      <c r="E347">
        <v>44155.595999999998</v>
      </c>
      <c r="G347">
        <v>5.0000000000000001E-3</v>
      </c>
      <c r="I347" t="s">
        <v>816</v>
      </c>
      <c r="J347" t="s">
        <v>790</v>
      </c>
    </row>
    <row r="348" spans="1:10">
      <c r="A348" t="s">
        <v>962</v>
      </c>
      <c r="B348" t="s">
        <v>293</v>
      </c>
      <c r="C348">
        <v>4</v>
      </c>
      <c r="E348">
        <v>44257.097999999998</v>
      </c>
      <c r="G348">
        <v>4.0000000000000001E-3</v>
      </c>
      <c r="I348" t="s">
        <v>816</v>
      </c>
      <c r="J348" t="s">
        <v>790</v>
      </c>
    </row>
    <row r="349" spans="1:10">
      <c r="A349" t="s">
        <v>962</v>
      </c>
      <c r="B349" t="s">
        <v>293</v>
      </c>
      <c r="C349">
        <v>5</v>
      </c>
      <c r="E349">
        <v>44375.5</v>
      </c>
      <c r="G349">
        <v>6.0000000000000001E-3</v>
      </c>
      <c r="I349" t="s">
        <v>816</v>
      </c>
      <c r="J349" t="s">
        <v>790</v>
      </c>
    </row>
    <row r="350" spans="1:10">
      <c r="A350" t="s">
        <v>898</v>
      </c>
      <c r="B350" t="s">
        <v>125</v>
      </c>
      <c r="C350">
        <v>5</v>
      </c>
      <c r="E350">
        <v>44163.232000000004</v>
      </c>
      <c r="G350">
        <v>8.9999999999999993E-3</v>
      </c>
      <c r="H350">
        <v>1</v>
      </c>
      <c r="I350" t="s">
        <v>986</v>
      </c>
      <c r="J350" t="s">
        <v>790</v>
      </c>
    </row>
    <row r="351" spans="1:10">
      <c r="A351" t="s">
        <v>982</v>
      </c>
      <c r="B351" t="s">
        <v>276</v>
      </c>
      <c r="C351">
        <v>1</v>
      </c>
      <c r="E351">
        <v>44182.898000000001</v>
      </c>
      <c r="G351">
        <v>0.01</v>
      </c>
      <c r="I351" t="s">
        <v>816</v>
      </c>
      <c r="J351" t="s">
        <v>790</v>
      </c>
    </row>
    <row r="352" spans="1:10">
      <c r="A352" t="s">
        <v>982</v>
      </c>
      <c r="B352" t="s">
        <v>276</v>
      </c>
      <c r="C352">
        <v>2</v>
      </c>
      <c r="E352">
        <v>44222.42</v>
      </c>
      <c r="G352">
        <v>1.0999999999999999E-2</v>
      </c>
      <c r="I352" t="s">
        <v>816</v>
      </c>
      <c r="J352" t="s">
        <v>790</v>
      </c>
    </row>
    <row r="353" spans="1:10">
      <c r="A353" t="s">
        <v>982</v>
      </c>
      <c r="B353" t="s">
        <v>276</v>
      </c>
      <c r="C353">
        <v>3</v>
      </c>
      <c r="E353">
        <v>44284.231</v>
      </c>
      <c r="G353">
        <v>7.0000000000000001E-3</v>
      </c>
      <c r="I353" t="s">
        <v>816</v>
      </c>
      <c r="J353" t="s">
        <v>790</v>
      </c>
    </row>
    <row r="354" spans="1:10">
      <c r="A354" t="s">
        <v>982</v>
      </c>
      <c r="B354" t="s">
        <v>276</v>
      </c>
      <c r="C354">
        <v>4</v>
      </c>
      <c r="E354">
        <v>44369.406000000003</v>
      </c>
      <c r="G354">
        <v>8.9999999999999993E-3</v>
      </c>
      <c r="I354" t="s">
        <v>816</v>
      </c>
      <c r="J354" t="s">
        <v>790</v>
      </c>
    </row>
    <row r="355" spans="1:10">
      <c r="A355" t="s">
        <v>982</v>
      </c>
      <c r="B355" t="s">
        <v>276</v>
      </c>
      <c r="C355">
        <v>5</v>
      </c>
      <c r="E355">
        <v>44477.256000000001</v>
      </c>
      <c r="G355">
        <v>7.0000000000000001E-3</v>
      </c>
      <c r="I355" t="s">
        <v>816</v>
      </c>
      <c r="J355" t="s">
        <v>790</v>
      </c>
    </row>
    <row r="356" spans="1:10">
      <c r="A356" t="s">
        <v>982</v>
      </c>
      <c r="B356" t="s">
        <v>271</v>
      </c>
      <c r="C356">
        <v>0</v>
      </c>
      <c r="E356">
        <v>44302.057999999997</v>
      </c>
      <c r="G356">
        <v>1.0999999999999999E-2</v>
      </c>
      <c r="I356" t="s">
        <v>816</v>
      </c>
      <c r="J356" t="s">
        <v>790</v>
      </c>
    </row>
    <row r="357" spans="1:10">
      <c r="A357" t="s">
        <v>982</v>
      </c>
      <c r="B357" t="s">
        <v>271</v>
      </c>
      <c r="C357">
        <v>1</v>
      </c>
      <c r="E357">
        <v>44331.489000000001</v>
      </c>
      <c r="G357">
        <v>8.9999999999999993E-3</v>
      </c>
      <c r="I357" t="s">
        <v>816</v>
      </c>
      <c r="J357" t="s">
        <v>790</v>
      </c>
    </row>
    <row r="358" spans="1:10">
      <c r="A358" t="s">
        <v>982</v>
      </c>
      <c r="B358" t="s">
        <v>271</v>
      </c>
      <c r="C358">
        <v>2</v>
      </c>
      <c r="E358">
        <v>44389.317000000003</v>
      </c>
      <c r="G358">
        <v>8.0000000000000002E-3</v>
      </c>
      <c r="I358" t="s">
        <v>816</v>
      </c>
      <c r="J358" t="s">
        <v>790</v>
      </c>
    </row>
    <row r="359" spans="1:10">
      <c r="A359" t="s">
        <v>982</v>
      </c>
      <c r="B359" t="s">
        <v>271</v>
      </c>
      <c r="C359">
        <v>3</v>
      </c>
      <c r="E359">
        <v>44473.347000000002</v>
      </c>
      <c r="G359">
        <v>8.9999999999999993E-3</v>
      </c>
      <c r="I359" t="s">
        <v>816</v>
      </c>
      <c r="J359" t="s">
        <v>790</v>
      </c>
    </row>
    <row r="360" spans="1:10">
      <c r="A360" t="s">
        <v>982</v>
      </c>
      <c r="B360" t="s">
        <v>271</v>
      </c>
      <c r="C360">
        <v>4</v>
      </c>
      <c r="E360">
        <v>44577.663999999997</v>
      </c>
      <c r="G360">
        <v>8.9999999999999993E-3</v>
      </c>
      <c r="I360" t="s">
        <v>816</v>
      </c>
      <c r="J360" t="s">
        <v>790</v>
      </c>
    </row>
    <row r="361" spans="1:10">
      <c r="A361" t="s">
        <v>846</v>
      </c>
      <c r="B361" t="s">
        <v>987</v>
      </c>
      <c r="C361">
        <v>2</v>
      </c>
      <c r="E361">
        <v>44651.328000000001</v>
      </c>
      <c r="G361">
        <v>3.0000000000000001E-3</v>
      </c>
      <c r="I361" t="s">
        <v>816</v>
      </c>
      <c r="J361" t="s">
        <v>790</v>
      </c>
    </row>
    <row r="362" spans="1:10">
      <c r="A362" t="s">
        <v>982</v>
      </c>
      <c r="B362" t="s">
        <v>283</v>
      </c>
      <c r="C362">
        <v>2</v>
      </c>
      <c r="E362">
        <v>44834.642</v>
      </c>
      <c r="G362">
        <v>3.0000000000000001E-3</v>
      </c>
      <c r="I362" t="s">
        <v>816</v>
      </c>
      <c r="J362" t="s">
        <v>790</v>
      </c>
    </row>
    <row r="363" spans="1:10">
      <c r="A363" t="s">
        <v>982</v>
      </c>
      <c r="B363" t="s">
        <v>283</v>
      </c>
      <c r="C363">
        <v>3</v>
      </c>
      <c r="E363">
        <v>44922.978999999999</v>
      </c>
      <c r="G363">
        <v>7.0000000000000001E-3</v>
      </c>
      <c r="I363" t="s">
        <v>816</v>
      </c>
      <c r="J363" t="s">
        <v>790</v>
      </c>
    </row>
    <row r="364" spans="1:10">
      <c r="A364" t="s">
        <v>982</v>
      </c>
      <c r="B364" t="s">
        <v>283</v>
      </c>
      <c r="C364">
        <v>4</v>
      </c>
      <c r="E364">
        <v>45040.955000000002</v>
      </c>
      <c r="G364">
        <v>6.0000000000000001E-3</v>
      </c>
      <c r="I364" t="s">
        <v>816</v>
      </c>
      <c r="J364" t="s">
        <v>790</v>
      </c>
    </row>
    <row r="365" spans="1:10">
      <c r="A365" t="s">
        <v>872</v>
      </c>
      <c r="B365" t="s">
        <v>988</v>
      </c>
      <c r="C365">
        <v>1</v>
      </c>
      <c r="E365">
        <v>44857.879000000001</v>
      </c>
      <c r="G365">
        <v>8.9999999999999993E-3</v>
      </c>
      <c r="I365" t="s">
        <v>816</v>
      </c>
      <c r="J365" t="s">
        <v>790</v>
      </c>
    </row>
    <row r="366" spans="1:10">
      <c r="A366" t="s">
        <v>982</v>
      </c>
      <c r="B366" t="s">
        <v>989</v>
      </c>
      <c r="C366">
        <v>1</v>
      </c>
      <c r="E366">
        <v>44966.527000000002</v>
      </c>
      <c r="G366">
        <v>0.02</v>
      </c>
      <c r="I366" t="s">
        <v>816</v>
      </c>
      <c r="J366" t="s">
        <v>790</v>
      </c>
    </row>
    <row r="367" spans="1:10">
      <c r="A367" t="s">
        <v>982</v>
      </c>
      <c r="B367" t="s">
        <v>989</v>
      </c>
      <c r="C367">
        <v>2</v>
      </c>
      <c r="E367">
        <v>45063.940999999999</v>
      </c>
      <c r="G367">
        <v>1.7999999999999999E-2</v>
      </c>
      <c r="I367" t="s">
        <v>816</v>
      </c>
      <c r="J367" t="s">
        <v>790</v>
      </c>
    </row>
    <row r="368" spans="1:10">
      <c r="A368" t="s">
        <v>982</v>
      </c>
      <c r="B368" t="s">
        <v>989</v>
      </c>
      <c r="C368">
        <v>3</v>
      </c>
      <c r="E368">
        <v>45206.499000000003</v>
      </c>
      <c r="G368">
        <v>1.4999999999999999E-2</v>
      </c>
      <c r="I368" t="s">
        <v>816</v>
      </c>
      <c r="J368" t="s">
        <v>790</v>
      </c>
    </row>
    <row r="369" spans="1:10">
      <c r="A369" t="s">
        <v>982</v>
      </c>
      <c r="B369" t="s">
        <v>293</v>
      </c>
      <c r="C369">
        <v>3</v>
      </c>
      <c r="E369">
        <v>45001.680999999997</v>
      </c>
      <c r="G369">
        <v>6.0000000000000001E-3</v>
      </c>
      <c r="I369" t="s">
        <v>816</v>
      </c>
      <c r="J369" t="s">
        <v>790</v>
      </c>
    </row>
    <row r="370" spans="1:10">
      <c r="A370" t="s">
        <v>982</v>
      </c>
      <c r="B370" t="s">
        <v>293</v>
      </c>
      <c r="C370">
        <v>4</v>
      </c>
      <c r="E370">
        <v>45097.711000000003</v>
      </c>
      <c r="G370">
        <v>8.0000000000000002E-3</v>
      </c>
      <c r="I370" t="s">
        <v>816</v>
      </c>
      <c r="J370" t="s">
        <v>790</v>
      </c>
    </row>
    <row r="371" spans="1:10">
      <c r="A371" t="s">
        <v>982</v>
      </c>
      <c r="B371" t="s">
        <v>293</v>
      </c>
      <c r="C371">
        <v>5</v>
      </c>
      <c r="E371">
        <v>45211.603000000003</v>
      </c>
      <c r="G371">
        <v>6.0000000000000001E-3</v>
      </c>
      <c r="I371" t="s">
        <v>816</v>
      </c>
      <c r="J371" t="s">
        <v>790</v>
      </c>
    </row>
    <row r="372" spans="1:10">
      <c r="A372" t="s">
        <v>990</v>
      </c>
      <c r="B372" t="s">
        <v>282</v>
      </c>
      <c r="C372">
        <v>0</v>
      </c>
      <c r="E372">
        <v>45040.849000000002</v>
      </c>
      <c r="G372">
        <v>1.0999999999999999E-2</v>
      </c>
      <c r="I372" t="s">
        <v>816</v>
      </c>
      <c r="J372" t="s">
        <v>790</v>
      </c>
    </row>
    <row r="373" spans="1:10">
      <c r="A373" t="s">
        <v>990</v>
      </c>
      <c r="B373" t="s">
        <v>282</v>
      </c>
      <c r="C373">
        <v>1</v>
      </c>
      <c r="E373">
        <v>45090.508999999998</v>
      </c>
      <c r="G373">
        <v>8.0000000000000002E-3</v>
      </c>
      <c r="I373" t="s">
        <v>816</v>
      </c>
      <c r="J373" t="s">
        <v>790</v>
      </c>
    </row>
    <row r="374" spans="1:10">
      <c r="A374" t="s">
        <v>990</v>
      </c>
      <c r="B374" t="s">
        <v>282</v>
      </c>
      <c r="C374">
        <v>2</v>
      </c>
      <c r="E374">
        <v>45177.966</v>
      </c>
      <c r="G374">
        <v>8.9999999999999993E-3</v>
      </c>
      <c r="I374" t="s">
        <v>816</v>
      </c>
      <c r="J374" t="s">
        <v>790</v>
      </c>
    </row>
    <row r="375" spans="1:10">
      <c r="A375" t="s">
        <v>991</v>
      </c>
      <c r="B375" t="s">
        <v>257</v>
      </c>
      <c r="C375">
        <v>1</v>
      </c>
      <c r="E375">
        <v>45093.226000000002</v>
      </c>
      <c r="G375">
        <v>6.0000000000000001E-3</v>
      </c>
      <c r="I375" t="s">
        <v>816</v>
      </c>
      <c r="J375" t="s">
        <v>790</v>
      </c>
    </row>
    <row r="376" spans="1:10">
      <c r="A376" t="s">
        <v>991</v>
      </c>
      <c r="B376" t="s">
        <v>257</v>
      </c>
      <c r="C376">
        <v>2</v>
      </c>
      <c r="E376">
        <v>45097.322999999997</v>
      </c>
      <c r="G376">
        <v>7.0000000000000001E-3</v>
      </c>
      <c r="I376" t="s">
        <v>816</v>
      </c>
      <c r="J376" t="s">
        <v>790</v>
      </c>
    </row>
    <row r="377" spans="1:10">
      <c r="A377" t="s">
        <v>991</v>
      </c>
      <c r="B377" t="s">
        <v>257</v>
      </c>
      <c r="C377">
        <v>3</v>
      </c>
      <c r="E377">
        <v>45102.381000000001</v>
      </c>
      <c r="G377">
        <v>8.0000000000000002E-3</v>
      </c>
      <c r="I377" t="s">
        <v>816</v>
      </c>
      <c r="J377" t="s">
        <v>790</v>
      </c>
    </row>
    <row r="378" spans="1:10">
      <c r="A378" t="s">
        <v>992</v>
      </c>
      <c r="B378" t="s">
        <v>511</v>
      </c>
      <c r="C378">
        <v>3</v>
      </c>
      <c r="E378">
        <v>45403.555999999997</v>
      </c>
      <c r="G378">
        <v>5.0000000000000001E-3</v>
      </c>
      <c r="I378" t="s">
        <v>816</v>
      </c>
      <c r="J378" t="s">
        <v>790</v>
      </c>
    </row>
    <row r="379" spans="1:10">
      <c r="A379" t="s">
        <v>992</v>
      </c>
      <c r="B379" t="s">
        <v>511</v>
      </c>
      <c r="C379">
        <v>4</v>
      </c>
      <c r="E379">
        <v>45498.815000000002</v>
      </c>
      <c r="G379">
        <v>6.0000000000000001E-3</v>
      </c>
      <c r="I379" t="s">
        <v>816</v>
      </c>
      <c r="J379" t="s">
        <v>790</v>
      </c>
    </row>
    <row r="380" spans="1:10">
      <c r="A380" t="s">
        <v>992</v>
      </c>
      <c r="B380" t="s">
        <v>511</v>
      </c>
      <c r="C380">
        <v>5</v>
      </c>
      <c r="E380">
        <v>45630.18</v>
      </c>
      <c r="G380">
        <v>6.0000000000000001E-3</v>
      </c>
      <c r="I380" t="s">
        <v>816</v>
      </c>
      <c r="J380" t="s">
        <v>790</v>
      </c>
    </row>
    <row r="381" spans="1:10">
      <c r="A381" t="s">
        <v>992</v>
      </c>
      <c r="B381" t="s">
        <v>993</v>
      </c>
      <c r="C381">
        <v>4</v>
      </c>
      <c r="E381">
        <v>45721.862999999998</v>
      </c>
      <c r="G381">
        <v>6.0000000000000001E-3</v>
      </c>
      <c r="H381">
        <v>0.8</v>
      </c>
      <c r="I381" t="s">
        <v>816</v>
      </c>
      <c r="J381" t="s">
        <v>790</v>
      </c>
    </row>
    <row r="382" spans="1:10">
      <c r="A382" t="s">
        <v>992</v>
      </c>
      <c r="B382" t="s">
        <v>993</v>
      </c>
      <c r="C382">
        <v>5</v>
      </c>
      <c r="E382">
        <v>45832.546000000002</v>
      </c>
      <c r="G382">
        <v>6.0000000000000001E-3</v>
      </c>
      <c r="H382">
        <v>1.03</v>
      </c>
      <c r="I382" t="s">
        <v>816</v>
      </c>
      <c r="J382" t="s">
        <v>790</v>
      </c>
    </row>
    <row r="383" spans="1:10">
      <c r="A383" t="s">
        <v>992</v>
      </c>
      <c r="B383" t="s">
        <v>993</v>
      </c>
      <c r="C383">
        <v>6</v>
      </c>
      <c r="E383">
        <v>45960.432000000001</v>
      </c>
      <c r="G383">
        <v>8.0000000000000002E-3</v>
      </c>
      <c r="H383">
        <v>1.17</v>
      </c>
      <c r="I383" t="s">
        <v>816</v>
      </c>
      <c r="J383" t="s">
        <v>790</v>
      </c>
    </row>
    <row r="384" spans="1:10">
      <c r="A384" t="s">
        <v>994</v>
      </c>
      <c r="B384" t="s">
        <v>995</v>
      </c>
      <c r="C384">
        <v>1</v>
      </c>
      <c r="E384">
        <v>45764.561999999998</v>
      </c>
      <c r="G384">
        <v>6.0000000000000001E-3</v>
      </c>
      <c r="I384" t="s">
        <v>816</v>
      </c>
      <c r="J384" t="s">
        <v>790</v>
      </c>
    </row>
    <row r="385" spans="1:10">
      <c r="A385" t="s">
        <v>994</v>
      </c>
      <c r="B385" t="s">
        <v>995</v>
      </c>
      <c r="C385">
        <v>2</v>
      </c>
      <c r="E385">
        <v>45812.934999999998</v>
      </c>
      <c r="G385">
        <v>4.0000000000000001E-3</v>
      </c>
      <c r="I385" t="s">
        <v>816</v>
      </c>
      <c r="J385" t="s">
        <v>790</v>
      </c>
    </row>
    <row r="386" spans="1:10">
      <c r="A386" t="s">
        <v>994</v>
      </c>
      <c r="B386" t="s">
        <v>995</v>
      </c>
      <c r="C386">
        <v>3</v>
      </c>
      <c r="E386">
        <v>45893.192000000003</v>
      </c>
      <c r="G386">
        <v>5.0000000000000001E-3</v>
      </c>
      <c r="I386" t="s">
        <v>816</v>
      </c>
      <c r="J386" t="s">
        <v>790</v>
      </c>
    </row>
    <row r="387" spans="1:10">
      <c r="A387" t="s">
        <v>994</v>
      </c>
      <c r="B387" t="s">
        <v>995</v>
      </c>
      <c r="C387">
        <v>4</v>
      </c>
      <c r="E387">
        <v>46007.544999999998</v>
      </c>
      <c r="G387">
        <v>5.0000000000000001E-3</v>
      </c>
      <c r="I387" t="s">
        <v>816</v>
      </c>
      <c r="J387" t="s">
        <v>790</v>
      </c>
    </row>
    <row r="388" spans="1:10">
      <c r="A388" t="s">
        <v>994</v>
      </c>
      <c r="B388" t="s">
        <v>995</v>
      </c>
      <c r="C388">
        <v>5</v>
      </c>
      <c r="E388">
        <v>46157.718999999997</v>
      </c>
      <c r="G388">
        <v>5.0000000000000001E-3</v>
      </c>
      <c r="I388" t="s">
        <v>816</v>
      </c>
      <c r="J388" t="s">
        <v>790</v>
      </c>
    </row>
    <row r="389" spans="1:10">
      <c r="A389" t="s">
        <v>992</v>
      </c>
      <c r="B389" t="s">
        <v>254</v>
      </c>
      <c r="C389">
        <v>2</v>
      </c>
      <c r="E389">
        <v>45777.275000000001</v>
      </c>
      <c r="G389">
        <v>8.0000000000000002E-3</v>
      </c>
      <c r="I389" t="s">
        <v>816</v>
      </c>
      <c r="J389" t="s">
        <v>790</v>
      </c>
    </row>
    <row r="390" spans="1:10">
      <c r="A390" t="s">
        <v>992</v>
      </c>
      <c r="B390" t="s">
        <v>254</v>
      </c>
      <c r="C390">
        <v>3</v>
      </c>
      <c r="E390">
        <v>45837.697999999997</v>
      </c>
      <c r="G390">
        <v>7.0000000000000001E-3</v>
      </c>
      <c r="I390" t="s">
        <v>816</v>
      </c>
      <c r="J390" t="s">
        <v>790</v>
      </c>
    </row>
    <row r="391" spans="1:10">
      <c r="A391" t="s">
        <v>992</v>
      </c>
      <c r="B391" t="s">
        <v>254</v>
      </c>
      <c r="C391">
        <v>4</v>
      </c>
      <c r="E391">
        <v>45931.012999999999</v>
      </c>
      <c r="G391">
        <v>0.01</v>
      </c>
      <c r="I391" t="s">
        <v>816</v>
      </c>
      <c r="J391" t="s">
        <v>790</v>
      </c>
    </row>
    <row r="392" spans="1:10">
      <c r="A392" t="s">
        <v>992</v>
      </c>
      <c r="B392" t="s">
        <v>996</v>
      </c>
      <c r="C392">
        <v>4</v>
      </c>
      <c r="E392">
        <v>46067.923000000003</v>
      </c>
      <c r="G392">
        <v>6.0000000000000001E-3</v>
      </c>
      <c r="I392" t="s">
        <v>816</v>
      </c>
      <c r="J392" t="s">
        <v>790</v>
      </c>
    </row>
    <row r="393" spans="1:10">
      <c r="A393" t="s">
        <v>997</v>
      </c>
      <c r="B393" t="s">
        <v>998</v>
      </c>
      <c r="C393">
        <v>4</v>
      </c>
      <c r="E393">
        <v>46257.548000000003</v>
      </c>
      <c r="G393">
        <v>8.9999999999999993E-3</v>
      </c>
      <c r="I393" t="s">
        <v>816</v>
      </c>
      <c r="J393" t="s">
        <v>790</v>
      </c>
    </row>
    <row r="394" spans="1:10">
      <c r="A394" t="s">
        <v>923</v>
      </c>
      <c r="B394" t="s">
        <v>303</v>
      </c>
      <c r="C394">
        <v>1</v>
      </c>
      <c r="E394">
        <v>46360.447</v>
      </c>
      <c r="G394">
        <v>8.9999999999999993E-3</v>
      </c>
      <c r="I394" t="s">
        <v>816</v>
      </c>
      <c r="J394" t="s">
        <v>790</v>
      </c>
    </row>
    <row r="395" spans="1:10">
      <c r="A395" t="s">
        <v>991</v>
      </c>
      <c r="B395" t="s">
        <v>259</v>
      </c>
      <c r="C395">
        <v>2</v>
      </c>
      <c r="E395">
        <v>46613.000999999997</v>
      </c>
      <c r="G395">
        <v>6.0000000000000001E-3</v>
      </c>
      <c r="I395" t="s">
        <v>816</v>
      </c>
      <c r="J395" t="s">
        <v>790</v>
      </c>
    </row>
    <row r="396" spans="1:10">
      <c r="A396" t="s">
        <v>992</v>
      </c>
      <c r="B396" t="s">
        <v>999</v>
      </c>
      <c r="C396">
        <v>3</v>
      </c>
      <c r="E396">
        <v>46650.398000000001</v>
      </c>
      <c r="G396">
        <v>1.0999999999999999E-2</v>
      </c>
      <c r="I396" t="s">
        <v>816</v>
      </c>
      <c r="J396" t="s">
        <v>790</v>
      </c>
    </row>
    <row r="397" spans="1:10">
      <c r="A397" t="s">
        <v>1000</v>
      </c>
      <c r="B397" t="s">
        <v>293</v>
      </c>
      <c r="C397">
        <v>3</v>
      </c>
      <c r="E397">
        <v>46725.398000000001</v>
      </c>
      <c r="G397">
        <v>1.2E-2</v>
      </c>
      <c r="H397">
        <v>0.75600000000000001</v>
      </c>
      <c r="I397" t="s">
        <v>1001</v>
      </c>
      <c r="J397" t="s">
        <v>790</v>
      </c>
    </row>
    <row r="398" spans="1:10">
      <c r="A398" t="s">
        <v>1000</v>
      </c>
      <c r="B398" t="s">
        <v>293</v>
      </c>
      <c r="C398">
        <v>4</v>
      </c>
      <c r="E398">
        <v>46837.983999999997</v>
      </c>
      <c r="G398">
        <v>6.0000000000000001E-3</v>
      </c>
      <c r="H398">
        <v>1.054</v>
      </c>
      <c r="I398" t="s">
        <v>1002</v>
      </c>
      <c r="J398" t="s">
        <v>790</v>
      </c>
    </row>
    <row r="399" spans="1:10">
      <c r="A399" t="s">
        <v>1000</v>
      </c>
      <c r="B399" t="s">
        <v>293</v>
      </c>
      <c r="C399">
        <v>5</v>
      </c>
      <c r="E399">
        <v>47022.337</v>
      </c>
      <c r="G399">
        <v>7.0000000000000001E-3</v>
      </c>
      <c r="H399">
        <v>1.2030000000000001</v>
      </c>
      <c r="I399">
        <v>97</v>
      </c>
      <c r="J399" t="s">
        <v>790</v>
      </c>
    </row>
    <row r="400" spans="1:10">
      <c r="A400" t="s">
        <v>1003</v>
      </c>
      <c r="B400" t="s">
        <v>1004</v>
      </c>
      <c r="C400">
        <v>2</v>
      </c>
      <c r="E400">
        <v>46943.911</v>
      </c>
      <c r="G400">
        <v>6.0000000000000001E-3</v>
      </c>
      <c r="I400" t="s">
        <v>816</v>
      </c>
      <c r="J400" t="s">
        <v>790</v>
      </c>
    </row>
    <row r="401" spans="1:10">
      <c r="A401" t="s">
        <v>1003</v>
      </c>
      <c r="B401" t="s">
        <v>1004</v>
      </c>
      <c r="C401">
        <v>3</v>
      </c>
      <c r="E401">
        <v>47030.23</v>
      </c>
      <c r="G401">
        <v>8.9999999999999993E-3</v>
      </c>
      <c r="I401" t="s">
        <v>816</v>
      </c>
      <c r="J401" t="s">
        <v>790</v>
      </c>
    </row>
    <row r="402" spans="1:10">
      <c r="A402" t="s">
        <v>1003</v>
      </c>
      <c r="B402" t="s">
        <v>1004</v>
      </c>
      <c r="C402">
        <v>4</v>
      </c>
      <c r="E402">
        <v>47139.735000000001</v>
      </c>
      <c r="G402">
        <v>6.0000000000000001E-3</v>
      </c>
      <c r="I402" t="s">
        <v>816</v>
      </c>
      <c r="J402" t="s">
        <v>790</v>
      </c>
    </row>
    <row r="403" spans="1:10">
      <c r="A403" t="s">
        <v>1003</v>
      </c>
      <c r="B403" t="s">
        <v>1004</v>
      </c>
      <c r="C403">
        <v>5</v>
      </c>
      <c r="E403">
        <v>47280.588000000003</v>
      </c>
      <c r="G403">
        <v>6.0000000000000001E-3</v>
      </c>
      <c r="I403" t="s">
        <v>816</v>
      </c>
      <c r="J403" t="s">
        <v>790</v>
      </c>
    </row>
    <row r="404" spans="1:10">
      <c r="A404" t="s">
        <v>1003</v>
      </c>
      <c r="B404" t="s">
        <v>1004</v>
      </c>
      <c r="C404">
        <v>6</v>
      </c>
      <c r="E404">
        <v>47446.684000000001</v>
      </c>
      <c r="G404">
        <v>1.2E-2</v>
      </c>
      <c r="I404" t="s">
        <v>816</v>
      </c>
      <c r="J404" t="s">
        <v>790</v>
      </c>
    </row>
    <row r="405" spans="1:10">
      <c r="A405" t="s">
        <v>1000</v>
      </c>
      <c r="B405" t="s">
        <v>1005</v>
      </c>
      <c r="C405">
        <v>2</v>
      </c>
      <c r="E405">
        <v>47187.506999999998</v>
      </c>
      <c r="G405">
        <v>8.9999999999999993E-3</v>
      </c>
      <c r="H405">
        <v>0.66800000000000004</v>
      </c>
      <c r="I405">
        <v>94</v>
      </c>
      <c r="J405" t="s">
        <v>790</v>
      </c>
    </row>
    <row r="406" spans="1:10">
      <c r="A406" t="s">
        <v>1000</v>
      </c>
      <c r="B406" t="s">
        <v>1005</v>
      </c>
      <c r="C406">
        <v>3</v>
      </c>
      <c r="E406">
        <v>47281.887000000002</v>
      </c>
      <c r="G406">
        <v>8.9999999999999993E-3</v>
      </c>
      <c r="H406">
        <v>1.0780000000000001</v>
      </c>
      <c r="I406" t="s">
        <v>1006</v>
      </c>
      <c r="J406" t="s">
        <v>790</v>
      </c>
    </row>
    <row r="407" spans="1:10">
      <c r="A407" t="s">
        <v>1000</v>
      </c>
      <c r="B407" t="s">
        <v>1005</v>
      </c>
      <c r="C407">
        <v>4</v>
      </c>
      <c r="E407">
        <v>47463.135000000002</v>
      </c>
      <c r="G407">
        <v>8.0000000000000002E-3</v>
      </c>
      <c r="H407">
        <v>1.2430000000000001</v>
      </c>
      <c r="I407" t="s">
        <v>1007</v>
      </c>
      <c r="J407" t="s">
        <v>790</v>
      </c>
    </row>
    <row r="408" spans="1:10">
      <c r="A408" t="s">
        <v>1008</v>
      </c>
      <c r="B408" t="s">
        <v>1009</v>
      </c>
      <c r="C408">
        <v>3</v>
      </c>
      <c r="E408">
        <v>47840.36</v>
      </c>
      <c r="G408">
        <v>0.03</v>
      </c>
      <c r="I408" t="s">
        <v>816</v>
      </c>
      <c r="J408" t="s">
        <v>790</v>
      </c>
    </row>
    <row r="409" spans="1:10">
      <c r="A409" t="s">
        <v>1008</v>
      </c>
      <c r="B409" t="s">
        <v>1009</v>
      </c>
      <c r="C409">
        <v>4</v>
      </c>
      <c r="E409">
        <v>47913.55</v>
      </c>
      <c r="G409">
        <v>0.02</v>
      </c>
      <c r="I409" t="s">
        <v>816</v>
      </c>
      <c r="J409" t="s">
        <v>790</v>
      </c>
    </row>
    <row r="410" spans="1:10">
      <c r="A410" t="s">
        <v>1008</v>
      </c>
      <c r="B410" t="s">
        <v>1009</v>
      </c>
      <c r="C410">
        <v>5</v>
      </c>
      <c r="E410">
        <v>47994.377</v>
      </c>
      <c r="G410">
        <v>7.0000000000000001E-3</v>
      </c>
      <c r="I410" t="s">
        <v>816</v>
      </c>
      <c r="J410" t="s">
        <v>790</v>
      </c>
    </row>
    <row r="411" spans="1:10">
      <c r="A411" t="s">
        <v>1008</v>
      </c>
      <c r="B411" t="s">
        <v>1009</v>
      </c>
      <c r="C411">
        <v>6</v>
      </c>
      <c r="E411">
        <v>48106.659</v>
      </c>
      <c r="G411">
        <v>8.9999999999999993E-3</v>
      </c>
      <c r="I411" t="s">
        <v>816</v>
      </c>
      <c r="J411" t="s">
        <v>790</v>
      </c>
    </row>
    <row r="412" spans="1:10">
      <c r="A412" t="s">
        <v>1008</v>
      </c>
      <c r="B412" t="s">
        <v>1009</v>
      </c>
      <c r="C412">
        <v>7</v>
      </c>
      <c r="E412">
        <v>48262.705000000002</v>
      </c>
      <c r="G412">
        <v>8.9999999999999993E-3</v>
      </c>
      <c r="I412" t="s">
        <v>816</v>
      </c>
      <c r="J412" t="s">
        <v>790</v>
      </c>
    </row>
    <row r="413" spans="1:10">
      <c r="A413" t="s">
        <v>1008</v>
      </c>
      <c r="B413" t="s">
        <v>1010</v>
      </c>
      <c r="C413">
        <v>2</v>
      </c>
      <c r="E413">
        <v>47870.47</v>
      </c>
      <c r="G413">
        <v>0.02</v>
      </c>
      <c r="I413" t="s">
        <v>816</v>
      </c>
      <c r="J413" t="s">
        <v>790</v>
      </c>
    </row>
    <row r="414" spans="1:10">
      <c r="A414" t="s">
        <v>1008</v>
      </c>
      <c r="B414" t="s">
        <v>1010</v>
      </c>
      <c r="C414">
        <v>3</v>
      </c>
      <c r="E414">
        <v>47936.73</v>
      </c>
      <c r="G414">
        <v>0.03</v>
      </c>
      <c r="I414" t="s">
        <v>816</v>
      </c>
      <c r="J414" t="s">
        <v>790</v>
      </c>
    </row>
    <row r="415" spans="1:10">
      <c r="A415" t="s">
        <v>1008</v>
      </c>
      <c r="B415" t="s">
        <v>1010</v>
      </c>
      <c r="C415">
        <v>4</v>
      </c>
      <c r="E415">
        <v>48018.093000000001</v>
      </c>
      <c r="G415">
        <v>1.0999999999999999E-2</v>
      </c>
      <c r="I415" t="s">
        <v>816</v>
      </c>
      <c r="J415" t="s">
        <v>790</v>
      </c>
    </row>
    <row r="416" spans="1:10">
      <c r="A416" t="s">
        <v>1008</v>
      </c>
      <c r="B416" t="s">
        <v>1010</v>
      </c>
      <c r="C416">
        <v>5</v>
      </c>
      <c r="E416">
        <v>48119.334999999999</v>
      </c>
      <c r="G416">
        <v>1.2999999999999999E-2</v>
      </c>
      <c r="I416" t="s">
        <v>816</v>
      </c>
      <c r="J416" t="s">
        <v>790</v>
      </c>
    </row>
    <row r="417" spans="1:10">
      <c r="A417" t="s">
        <v>1008</v>
      </c>
      <c r="B417" t="s">
        <v>1010</v>
      </c>
      <c r="C417">
        <v>6</v>
      </c>
      <c r="E417">
        <v>48233.38</v>
      </c>
      <c r="G417">
        <v>8.0000000000000002E-3</v>
      </c>
      <c r="I417" t="s">
        <v>816</v>
      </c>
      <c r="J417" t="s">
        <v>790</v>
      </c>
    </row>
    <row r="418" spans="1:10">
      <c r="A418" t="s">
        <v>1011</v>
      </c>
      <c r="B418" t="s">
        <v>269</v>
      </c>
      <c r="C418">
        <v>4</v>
      </c>
      <c r="E418">
        <v>47954.025000000001</v>
      </c>
      <c r="G418">
        <v>7.0000000000000001E-3</v>
      </c>
      <c r="I418" t="s">
        <v>816</v>
      </c>
      <c r="J418" t="s">
        <v>790</v>
      </c>
    </row>
    <row r="419" spans="1:10">
      <c r="A419" t="s">
        <v>1012</v>
      </c>
      <c r="B419" t="s">
        <v>389</v>
      </c>
      <c r="C419">
        <v>3</v>
      </c>
      <c r="E419">
        <v>47997.997600000002</v>
      </c>
      <c r="G419">
        <v>1.6000000000000001E-3</v>
      </c>
      <c r="I419" t="s">
        <v>816</v>
      </c>
      <c r="J419" t="s">
        <v>790</v>
      </c>
    </row>
    <row r="420" spans="1:10">
      <c r="A420" t="s">
        <v>1012</v>
      </c>
      <c r="B420" t="s">
        <v>389</v>
      </c>
      <c r="C420">
        <v>4</v>
      </c>
      <c r="E420">
        <v>48002.370199999998</v>
      </c>
      <c r="G420">
        <v>1.5E-3</v>
      </c>
      <c r="I420" t="s">
        <v>816</v>
      </c>
      <c r="J420" t="s">
        <v>790</v>
      </c>
    </row>
    <row r="421" spans="1:10">
      <c r="A421" t="s">
        <v>1012</v>
      </c>
      <c r="B421" t="s">
        <v>397</v>
      </c>
      <c r="C421">
        <v>4</v>
      </c>
      <c r="E421">
        <v>48008.1086</v>
      </c>
      <c r="G421">
        <v>1.6000000000000001E-3</v>
      </c>
      <c r="I421" t="s">
        <v>816</v>
      </c>
      <c r="J421" t="s">
        <v>790</v>
      </c>
    </row>
    <row r="422" spans="1:10">
      <c r="A422" t="s">
        <v>1012</v>
      </c>
      <c r="B422" t="s">
        <v>397</v>
      </c>
      <c r="C422">
        <v>5</v>
      </c>
      <c r="E422">
        <v>48012.315799999997</v>
      </c>
      <c r="G422">
        <v>1.2999999999999999E-3</v>
      </c>
      <c r="I422" t="s">
        <v>816</v>
      </c>
      <c r="J422" t="s">
        <v>790</v>
      </c>
    </row>
    <row r="423" spans="1:10">
      <c r="A423" t="s">
        <v>1012</v>
      </c>
      <c r="B423" t="s">
        <v>390</v>
      </c>
      <c r="C423">
        <v>3</v>
      </c>
      <c r="E423">
        <v>48010.396500000003</v>
      </c>
      <c r="G423">
        <v>1.2999999999999999E-3</v>
      </c>
      <c r="I423" t="s">
        <v>816</v>
      </c>
      <c r="J423" t="s">
        <v>790</v>
      </c>
    </row>
    <row r="424" spans="1:10">
      <c r="A424" t="s">
        <v>1012</v>
      </c>
      <c r="B424" t="s">
        <v>390</v>
      </c>
      <c r="C424">
        <v>2</v>
      </c>
      <c r="E424">
        <v>48010.583500000001</v>
      </c>
      <c r="G424">
        <v>1.9E-3</v>
      </c>
      <c r="I424" t="s">
        <v>816</v>
      </c>
      <c r="J424" t="s">
        <v>790</v>
      </c>
    </row>
    <row r="425" spans="1:10">
      <c r="A425" t="s">
        <v>1012</v>
      </c>
      <c r="B425" t="s">
        <v>388</v>
      </c>
      <c r="C425">
        <v>1</v>
      </c>
      <c r="E425">
        <v>48013.040999999997</v>
      </c>
      <c r="G425">
        <v>3.0000000000000001E-3</v>
      </c>
      <c r="I425" t="s">
        <v>816</v>
      </c>
      <c r="J425" t="s">
        <v>790</v>
      </c>
    </row>
    <row r="426" spans="1:10">
      <c r="A426" t="s">
        <v>1012</v>
      </c>
      <c r="B426" t="s">
        <v>388</v>
      </c>
      <c r="C426">
        <v>2</v>
      </c>
      <c r="E426">
        <v>48015.148000000001</v>
      </c>
      <c r="G426">
        <v>1.5E-3</v>
      </c>
      <c r="I426" t="s">
        <v>816</v>
      </c>
      <c r="J426" t="s">
        <v>790</v>
      </c>
    </row>
    <row r="427" spans="1:10">
      <c r="A427" t="s">
        <v>1003</v>
      </c>
      <c r="B427" t="s">
        <v>346</v>
      </c>
      <c r="C427">
        <v>1</v>
      </c>
      <c r="E427">
        <v>48048.339</v>
      </c>
      <c r="G427">
        <v>0.01</v>
      </c>
      <c r="I427" t="s">
        <v>816</v>
      </c>
      <c r="J427" t="s">
        <v>790</v>
      </c>
    </row>
    <row r="428" spans="1:10">
      <c r="A428" t="s">
        <v>1003</v>
      </c>
      <c r="B428" t="s">
        <v>346</v>
      </c>
      <c r="C428">
        <v>2</v>
      </c>
      <c r="E428">
        <v>48107.432000000001</v>
      </c>
      <c r="G428">
        <v>8.9999999999999993E-3</v>
      </c>
      <c r="I428" t="s">
        <v>816</v>
      </c>
      <c r="J428" t="s">
        <v>790</v>
      </c>
    </row>
    <row r="429" spans="1:10">
      <c r="A429" t="s">
        <v>1003</v>
      </c>
      <c r="B429" t="s">
        <v>346</v>
      </c>
      <c r="C429">
        <v>3</v>
      </c>
      <c r="E429">
        <v>48208.887000000002</v>
      </c>
      <c r="G429">
        <v>8.9999999999999993E-3</v>
      </c>
      <c r="I429" t="s">
        <v>816</v>
      </c>
      <c r="J429" t="s">
        <v>790</v>
      </c>
    </row>
    <row r="430" spans="1:10">
      <c r="A430" t="s">
        <v>1003</v>
      </c>
      <c r="B430" t="s">
        <v>346</v>
      </c>
      <c r="C430">
        <v>4</v>
      </c>
      <c r="E430">
        <v>48328.747000000003</v>
      </c>
      <c r="G430">
        <v>8.9999999999999993E-3</v>
      </c>
      <c r="I430" t="s">
        <v>816</v>
      </c>
      <c r="J430" t="s">
        <v>790</v>
      </c>
    </row>
    <row r="431" spans="1:10">
      <c r="A431" t="s">
        <v>1003</v>
      </c>
      <c r="B431" t="s">
        <v>346</v>
      </c>
      <c r="C431">
        <v>5</v>
      </c>
      <c r="E431">
        <v>48461.966999999997</v>
      </c>
      <c r="G431">
        <v>0.01</v>
      </c>
      <c r="I431" t="s">
        <v>816</v>
      </c>
      <c r="J431" t="s">
        <v>790</v>
      </c>
    </row>
    <row r="432" spans="1:10">
      <c r="A432" t="s">
        <v>1013</v>
      </c>
      <c r="B432" t="s">
        <v>390</v>
      </c>
      <c r="C432">
        <v>2</v>
      </c>
      <c r="E432">
        <v>48097.589899999999</v>
      </c>
      <c r="G432">
        <v>1.4E-3</v>
      </c>
      <c r="I432" t="s">
        <v>816</v>
      </c>
      <c r="J432" t="s">
        <v>790</v>
      </c>
    </row>
    <row r="433" spans="1:10">
      <c r="A433" t="s">
        <v>1013</v>
      </c>
      <c r="B433" t="s">
        <v>390</v>
      </c>
      <c r="C433">
        <v>3</v>
      </c>
      <c r="E433">
        <v>48105.179700000001</v>
      </c>
      <c r="G433">
        <v>1.2999999999999999E-3</v>
      </c>
      <c r="I433" t="s">
        <v>816</v>
      </c>
      <c r="J433" t="s">
        <v>790</v>
      </c>
    </row>
    <row r="434" spans="1:10">
      <c r="A434" t="s">
        <v>1013</v>
      </c>
      <c r="B434" t="s">
        <v>397</v>
      </c>
      <c r="C434">
        <v>4</v>
      </c>
      <c r="E434">
        <v>48098.043899999997</v>
      </c>
      <c r="G434">
        <v>1.4E-3</v>
      </c>
      <c r="I434" t="s">
        <v>816</v>
      </c>
      <c r="J434" t="s">
        <v>790</v>
      </c>
    </row>
    <row r="435" spans="1:10">
      <c r="A435" t="s">
        <v>1013</v>
      </c>
      <c r="B435" t="s">
        <v>397</v>
      </c>
      <c r="C435">
        <v>5</v>
      </c>
      <c r="E435">
        <v>48098.275300000001</v>
      </c>
      <c r="G435">
        <v>1.1999999999999999E-3</v>
      </c>
      <c r="I435" t="s">
        <v>816</v>
      </c>
      <c r="J435" t="s">
        <v>790</v>
      </c>
    </row>
    <row r="436" spans="1:10">
      <c r="A436" t="s">
        <v>1013</v>
      </c>
      <c r="B436" t="s">
        <v>389</v>
      </c>
      <c r="C436">
        <v>4</v>
      </c>
      <c r="E436">
        <v>48099.746800000001</v>
      </c>
      <c r="G436">
        <v>1.6000000000000001E-3</v>
      </c>
      <c r="I436" t="s">
        <v>816</v>
      </c>
      <c r="J436" t="s">
        <v>790</v>
      </c>
    </row>
    <row r="437" spans="1:10">
      <c r="A437" t="s">
        <v>1013</v>
      </c>
      <c r="B437" t="s">
        <v>389</v>
      </c>
      <c r="C437">
        <v>3</v>
      </c>
      <c r="E437">
        <v>48099.899599999997</v>
      </c>
      <c r="G437">
        <v>1.1999999999999999E-3</v>
      </c>
      <c r="I437" t="s">
        <v>816</v>
      </c>
      <c r="J437" t="s">
        <v>790</v>
      </c>
    </row>
    <row r="438" spans="1:10">
      <c r="A438" t="s">
        <v>1013</v>
      </c>
      <c r="B438" t="s">
        <v>395</v>
      </c>
      <c r="C438">
        <v>6</v>
      </c>
      <c r="E438">
        <v>48103.072</v>
      </c>
      <c r="G438">
        <v>2E-3</v>
      </c>
      <c r="I438" t="s">
        <v>816</v>
      </c>
      <c r="J438" t="s">
        <v>790</v>
      </c>
    </row>
    <row r="439" spans="1:10">
      <c r="A439" t="s">
        <v>1013</v>
      </c>
      <c r="B439" t="s">
        <v>395</v>
      </c>
      <c r="C439">
        <v>5</v>
      </c>
      <c r="E439">
        <v>48104.502099999998</v>
      </c>
      <c r="G439">
        <v>1.5E-3</v>
      </c>
      <c r="I439" t="s">
        <v>816</v>
      </c>
      <c r="J439" t="s">
        <v>790</v>
      </c>
    </row>
    <row r="440" spans="1:10">
      <c r="A440" t="s">
        <v>1013</v>
      </c>
      <c r="B440" t="s">
        <v>388</v>
      </c>
      <c r="C440">
        <v>1</v>
      </c>
      <c r="E440">
        <v>48107.163200000003</v>
      </c>
      <c r="G440">
        <v>2E-3</v>
      </c>
      <c r="I440" t="s">
        <v>816</v>
      </c>
      <c r="J440" t="s">
        <v>790</v>
      </c>
    </row>
    <row r="441" spans="1:10">
      <c r="A441" t="s">
        <v>1013</v>
      </c>
      <c r="B441" t="s">
        <v>388</v>
      </c>
      <c r="C441">
        <v>2</v>
      </c>
      <c r="E441">
        <v>48109.802600000003</v>
      </c>
      <c r="G441">
        <v>1.6000000000000001E-3</v>
      </c>
      <c r="I441" t="s">
        <v>816</v>
      </c>
      <c r="J441" t="s">
        <v>790</v>
      </c>
    </row>
    <row r="442" spans="1:10">
      <c r="A442" t="s">
        <v>1013</v>
      </c>
      <c r="B442" t="s">
        <v>394</v>
      </c>
      <c r="C442">
        <v>1</v>
      </c>
      <c r="E442">
        <v>48114.900999999998</v>
      </c>
      <c r="G442">
        <v>2E-3</v>
      </c>
      <c r="I442" t="s">
        <v>816</v>
      </c>
      <c r="J442" t="s">
        <v>790</v>
      </c>
    </row>
    <row r="443" spans="1:10">
      <c r="A443" t="s">
        <v>1013</v>
      </c>
      <c r="B443" t="s">
        <v>394</v>
      </c>
      <c r="C443">
        <v>0</v>
      </c>
      <c r="E443">
        <v>48117.052000000003</v>
      </c>
      <c r="G443">
        <v>2E-3</v>
      </c>
      <c r="I443" t="s">
        <v>816</v>
      </c>
      <c r="J443" t="s">
        <v>790</v>
      </c>
    </row>
    <row r="444" spans="1:10">
      <c r="A444" t="s">
        <v>1014</v>
      </c>
      <c r="B444" t="s">
        <v>397</v>
      </c>
      <c r="C444">
        <v>5</v>
      </c>
      <c r="E444">
        <v>48225.306900000003</v>
      </c>
      <c r="G444">
        <v>1.2999999999999999E-3</v>
      </c>
      <c r="I444" t="s">
        <v>816</v>
      </c>
      <c r="J444" t="s">
        <v>790</v>
      </c>
    </row>
    <row r="445" spans="1:10">
      <c r="A445" t="s">
        <v>1014</v>
      </c>
      <c r="B445" t="s">
        <v>397</v>
      </c>
      <c r="C445">
        <v>4</v>
      </c>
      <c r="E445">
        <v>48236.291100000002</v>
      </c>
      <c r="G445">
        <v>1.6000000000000001E-3</v>
      </c>
      <c r="I445" t="s">
        <v>816</v>
      </c>
      <c r="J445" t="s">
        <v>790</v>
      </c>
    </row>
    <row r="446" spans="1:10">
      <c r="A446" t="s">
        <v>1014</v>
      </c>
      <c r="B446" t="s">
        <v>395</v>
      </c>
      <c r="C446">
        <v>6</v>
      </c>
      <c r="E446">
        <v>48226.327499999999</v>
      </c>
      <c r="G446">
        <v>1.2999999999999999E-3</v>
      </c>
      <c r="I446" t="s">
        <v>816</v>
      </c>
      <c r="J446" t="s">
        <v>790</v>
      </c>
    </row>
    <row r="447" spans="1:10">
      <c r="A447" t="s">
        <v>1014</v>
      </c>
      <c r="B447" t="s">
        <v>395</v>
      </c>
      <c r="C447">
        <v>5</v>
      </c>
      <c r="E447">
        <v>48232.603199999998</v>
      </c>
      <c r="G447">
        <v>1.1000000000000001E-3</v>
      </c>
      <c r="I447" t="s">
        <v>816</v>
      </c>
      <c r="J447" t="s">
        <v>790</v>
      </c>
    </row>
    <row r="448" spans="1:10">
      <c r="A448" t="s">
        <v>1014</v>
      </c>
      <c r="B448" t="s">
        <v>389</v>
      </c>
      <c r="C448">
        <v>4</v>
      </c>
      <c r="E448">
        <v>48231.286999999997</v>
      </c>
      <c r="G448">
        <v>1E-3</v>
      </c>
      <c r="I448" t="s">
        <v>816</v>
      </c>
      <c r="J448" t="s">
        <v>790</v>
      </c>
    </row>
    <row r="449" spans="1:10">
      <c r="A449" t="s">
        <v>1014</v>
      </c>
      <c r="B449" t="s">
        <v>389</v>
      </c>
      <c r="C449">
        <v>3</v>
      </c>
      <c r="E449">
        <v>48239.064299999998</v>
      </c>
      <c r="G449">
        <v>1.2999999999999999E-3</v>
      </c>
      <c r="I449" t="s">
        <v>816</v>
      </c>
      <c r="J449" t="s">
        <v>790</v>
      </c>
    </row>
    <row r="450" spans="1:10">
      <c r="A450" t="s">
        <v>1014</v>
      </c>
      <c r="B450" t="s">
        <v>1015</v>
      </c>
      <c r="C450">
        <v>7</v>
      </c>
      <c r="E450">
        <v>48233.356500000002</v>
      </c>
      <c r="G450">
        <v>1.9E-3</v>
      </c>
      <c r="I450" t="s">
        <v>816</v>
      </c>
      <c r="J450" t="s">
        <v>790</v>
      </c>
    </row>
    <row r="451" spans="1:10">
      <c r="A451" t="s">
        <v>1014</v>
      </c>
      <c r="B451" t="s">
        <v>1015</v>
      </c>
      <c r="C451">
        <v>6</v>
      </c>
      <c r="E451">
        <v>48240.946799999998</v>
      </c>
      <c r="G451">
        <v>1.6000000000000001E-3</v>
      </c>
      <c r="I451" t="s">
        <v>816</v>
      </c>
      <c r="J451" t="s">
        <v>790</v>
      </c>
    </row>
    <row r="452" spans="1:10">
      <c r="A452" t="s">
        <v>1014</v>
      </c>
      <c r="B452" t="s">
        <v>388</v>
      </c>
      <c r="C452">
        <v>1</v>
      </c>
      <c r="E452">
        <v>48236.149899999997</v>
      </c>
      <c r="G452">
        <v>1.6000000000000001E-3</v>
      </c>
      <c r="I452" t="s">
        <v>816</v>
      </c>
      <c r="J452" t="s">
        <v>790</v>
      </c>
    </row>
    <row r="453" spans="1:10">
      <c r="A453" t="s">
        <v>1014</v>
      </c>
      <c r="B453" t="s">
        <v>388</v>
      </c>
      <c r="C453">
        <v>2</v>
      </c>
      <c r="E453">
        <v>48242.791100000002</v>
      </c>
      <c r="G453">
        <v>1.5E-3</v>
      </c>
      <c r="I453" t="s">
        <v>816</v>
      </c>
      <c r="J453" t="s">
        <v>790</v>
      </c>
    </row>
    <row r="454" spans="1:10">
      <c r="A454" t="s">
        <v>1014</v>
      </c>
      <c r="B454" t="s">
        <v>390</v>
      </c>
      <c r="C454">
        <v>2</v>
      </c>
      <c r="E454">
        <v>48240.054499999998</v>
      </c>
      <c r="G454">
        <v>2E-3</v>
      </c>
      <c r="I454" t="s">
        <v>816</v>
      </c>
      <c r="J454" t="s">
        <v>790</v>
      </c>
    </row>
    <row r="455" spans="1:10">
      <c r="A455" t="s">
        <v>1014</v>
      </c>
      <c r="B455" t="s">
        <v>390</v>
      </c>
      <c r="C455">
        <v>3</v>
      </c>
      <c r="E455">
        <v>48240.963400000001</v>
      </c>
      <c r="G455">
        <v>1.5E-3</v>
      </c>
      <c r="I455" t="s">
        <v>816</v>
      </c>
      <c r="J455" t="s">
        <v>790</v>
      </c>
    </row>
    <row r="456" spans="1:10">
      <c r="A456" t="s">
        <v>1014</v>
      </c>
      <c r="B456" t="s">
        <v>394</v>
      </c>
      <c r="C456">
        <v>1</v>
      </c>
      <c r="E456">
        <v>48243.763299999999</v>
      </c>
      <c r="G456">
        <v>1.6000000000000001E-3</v>
      </c>
      <c r="I456" t="s">
        <v>816</v>
      </c>
      <c r="J456" t="s">
        <v>790</v>
      </c>
    </row>
    <row r="457" spans="1:10">
      <c r="A457" t="s">
        <v>1014</v>
      </c>
      <c r="B457" t="s">
        <v>394</v>
      </c>
      <c r="C457">
        <v>0</v>
      </c>
      <c r="E457">
        <v>48250.311000000002</v>
      </c>
      <c r="G457">
        <v>3.0000000000000001E-3</v>
      </c>
      <c r="I457" t="s">
        <v>816</v>
      </c>
      <c r="J457" t="s">
        <v>790</v>
      </c>
    </row>
    <row r="458" spans="1:10">
      <c r="A458" t="s">
        <v>1000</v>
      </c>
      <c r="B458" t="s">
        <v>1016</v>
      </c>
      <c r="C458">
        <v>3</v>
      </c>
      <c r="E458">
        <v>48364.925000000003</v>
      </c>
      <c r="G458">
        <v>8.9999999999999993E-3</v>
      </c>
      <c r="H458">
        <v>1.0029999999999999</v>
      </c>
      <c r="I458" t="s">
        <v>1017</v>
      </c>
      <c r="J458" t="s">
        <v>790</v>
      </c>
    </row>
    <row r="459" spans="1:10">
      <c r="A459" t="s">
        <v>1018</v>
      </c>
      <c r="B459" t="s">
        <v>1015</v>
      </c>
      <c r="C459">
        <v>7</v>
      </c>
      <c r="E459">
        <v>48390.046600000001</v>
      </c>
      <c r="G459">
        <v>1.9E-3</v>
      </c>
      <c r="I459" t="s">
        <v>816</v>
      </c>
      <c r="J459" t="s">
        <v>790</v>
      </c>
    </row>
    <row r="460" spans="1:10">
      <c r="A460" t="s">
        <v>1018</v>
      </c>
      <c r="B460" t="s">
        <v>1015</v>
      </c>
      <c r="C460">
        <v>6</v>
      </c>
      <c r="E460">
        <v>48400.350599999998</v>
      </c>
      <c r="G460">
        <v>1.2999999999999999E-3</v>
      </c>
      <c r="I460" t="s">
        <v>816</v>
      </c>
      <c r="J460" t="s">
        <v>790</v>
      </c>
    </row>
    <row r="461" spans="1:10">
      <c r="A461" t="s">
        <v>1018</v>
      </c>
      <c r="B461" t="s">
        <v>395</v>
      </c>
      <c r="C461">
        <v>6</v>
      </c>
      <c r="E461">
        <v>48391.349399999999</v>
      </c>
      <c r="G461">
        <v>1.1999999999999999E-3</v>
      </c>
      <c r="I461" t="s">
        <v>816</v>
      </c>
      <c r="J461" t="s">
        <v>790</v>
      </c>
    </row>
    <row r="462" spans="1:10">
      <c r="A462" t="s">
        <v>1018</v>
      </c>
      <c r="B462" t="s">
        <v>395</v>
      </c>
      <c r="C462">
        <v>5</v>
      </c>
      <c r="E462">
        <v>48404.403599999998</v>
      </c>
      <c r="G462">
        <v>1.1000000000000001E-3</v>
      </c>
      <c r="I462" t="s">
        <v>816</v>
      </c>
      <c r="J462" t="s">
        <v>790</v>
      </c>
    </row>
    <row r="463" spans="1:10">
      <c r="A463" t="s">
        <v>1018</v>
      </c>
      <c r="B463" t="s">
        <v>390</v>
      </c>
      <c r="C463">
        <v>3</v>
      </c>
      <c r="E463">
        <v>48394.9202</v>
      </c>
      <c r="G463">
        <v>1.5E-3</v>
      </c>
      <c r="I463" t="s">
        <v>816</v>
      </c>
      <c r="J463" t="s">
        <v>790</v>
      </c>
    </row>
    <row r="464" spans="1:10">
      <c r="A464" t="s">
        <v>1018</v>
      </c>
      <c r="B464" t="s">
        <v>390</v>
      </c>
      <c r="C464">
        <v>2</v>
      </c>
      <c r="E464">
        <v>48408.067900000002</v>
      </c>
      <c r="G464">
        <v>1.6000000000000001E-3</v>
      </c>
      <c r="I464" t="s">
        <v>816</v>
      </c>
      <c r="J464" t="s">
        <v>790</v>
      </c>
    </row>
    <row r="465" spans="1:10">
      <c r="A465" t="s">
        <v>1018</v>
      </c>
      <c r="B465" t="s">
        <v>397</v>
      </c>
      <c r="C465">
        <v>5</v>
      </c>
      <c r="E465">
        <v>48397.789299999997</v>
      </c>
      <c r="G465">
        <v>1E-3</v>
      </c>
      <c r="I465" t="s">
        <v>816</v>
      </c>
      <c r="J465" t="s">
        <v>790</v>
      </c>
    </row>
    <row r="466" spans="1:10">
      <c r="A466" t="s">
        <v>1018</v>
      </c>
      <c r="B466" t="s">
        <v>397</v>
      </c>
      <c r="C466">
        <v>4</v>
      </c>
      <c r="E466">
        <v>48404.487000000001</v>
      </c>
      <c r="G466">
        <v>1.1999999999999999E-3</v>
      </c>
      <c r="I466" t="s">
        <v>816</v>
      </c>
      <c r="J466" t="s">
        <v>790</v>
      </c>
    </row>
    <row r="467" spans="1:10">
      <c r="A467" t="s">
        <v>1018</v>
      </c>
      <c r="B467" t="s">
        <v>388</v>
      </c>
      <c r="C467">
        <v>2</v>
      </c>
      <c r="E467">
        <v>48399.806199999999</v>
      </c>
      <c r="G467">
        <v>1.4E-3</v>
      </c>
      <c r="I467" t="s">
        <v>816</v>
      </c>
      <c r="J467" t="s">
        <v>790</v>
      </c>
    </row>
    <row r="468" spans="1:10">
      <c r="A468" t="s">
        <v>1018</v>
      </c>
      <c r="B468" t="s">
        <v>388</v>
      </c>
      <c r="C468">
        <v>1</v>
      </c>
      <c r="E468">
        <v>48422.305</v>
      </c>
      <c r="G468">
        <v>5.0000000000000001E-3</v>
      </c>
      <c r="I468" t="s">
        <v>816</v>
      </c>
      <c r="J468" t="s">
        <v>790</v>
      </c>
    </row>
    <row r="469" spans="1:10">
      <c r="A469" t="s">
        <v>1018</v>
      </c>
      <c r="B469" t="s">
        <v>1019</v>
      </c>
      <c r="C469">
        <v>8</v>
      </c>
      <c r="E469">
        <v>48401.084999999999</v>
      </c>
      <c r="G469">
        <v>4.0000000000000001E-3</v>
      </c>
      <c r="I469" t="s">
        <v>816</v>
      </c>
      <c r="J469" t="s">
        <v>790</v>
      </c>
    </row>
    <row r="470" spans="1:10">
      <c r="A470" t="s">
        <v>1018</v>
      </c>
      <c r="B470" t="s">
        <v>1019</v>
      </c>
      <c r="C470">
        <v>7</v>
      </c>
      <c r="E470">
        <v>48414.123500000002</v>
      </c>
      <c r="G470">
        <v>1.9E-3</v>
      </c>
      <c r="I470" t="s">
        <v>816</v>
      </c>
      <c r="J470" t="s">
        <v>790</v>
      </c>
    </row>
    <row r="471" spans="1:10">
      <c r="A471" t="s">
        <v>1018</v>
      </c>
      <c r="B471" t="s">
        <v>389</v>
      </c>
      <c r="C471">
        <v>3</v>
      </c>
      <c r="E471">
        <v>48407.705399999999</v>
      </c>
      <c r="G471">
        <v>1.2999999999999999E-3</v>
      </c>
      <c r="I471" t="s">
        <v>816</v>
      </c>
      <c r="J471" t="s">
        <v>790</v>
      </c>
    </row>
    <row r="472" spans="1:10">
      <c r="A472" t="s">
        <v>1018</v>
      </c>
      <c r="B472" t="s">
        <v>389</v>
      </c>
      <c r="C472">
        <v>4</v>
      </c>
      <c r="E472">
        <v>48412.943200000002</v>
      </c>
      <c r="G472">
        <v>1.2999999999999999E-3</v>
      </c>
      <c r="I472" t="s">
        <v>816</v>
      </c>
      <c r="J472" t="s">
        <v>790</v>
      </c>
    </row>
    <row r="473" spans="1:10">
      <c r="A473" t="s">
        <v>1008</v>
      </c>
      <c r="B473" t="s">
        <v>346</v>
      </c>
      <c r="C473">
        <v>1</v>
      </c>
      <c r="E473">
        <v>48458.006000000001</v>
      </c>
      <c r="G473">
        <v>1.7000000000000001E-2</v>
      </c>
      <c r="I473" t="s">
        <v>816</v>
      </c>
      <c r="J473" t="s">
        <v>790</v>
      </c>
    </row>
    <row r="474" spans="1:10">
      <c r="A474" t="s">
        <v>1008</v>
      </c>
      <c r="B474" t="s">
        <v>346</v>
      </c>
      <c r="C474">
        <v>2</v>
      </c>
      <c r="E474">
        <v>48509.938000000002</v>
      </c>
      <c r="G474">
        <v>1.7999999999999999E-2</v>
      </c>
      <c r="I474" t="s">
        <v>816</v>
      </c>
      <c r="J474" t="s">
        <v>790</v>
      </c>
    </row>
    <row r="475" spans="1:10">
      <c r="A475" t="s">
        <v>1008</v>
      </c>
      <c r="B475" t="s">
        <v>346</v>
      </c>
      <c r="C475">
        <v>3</v>
      </c>
      <c r="E475">
        <v>48588.258000000002</v>
      </c>
      <c r="G475">
        <v>1.0999999999999999E-2</v>
      </c>
      <c r="I475" t="s">
        <v>816</v>
      </c>
      <c r="J475" t="s">
        <v>790</v>
      </c>
    </row>
    <row r="476" spans="1:10">
      <c r="A476" t="s">
        <v>1008</v>
      </c>
      <c r="B476" t="s">
        <v>346</v>
      </c>
      <c r="C476">
        <v>4</v>
      </c>
      <c r="E476">
        <v>48672.565999999999</v>
      </c>
      <c r="G476">
        <v>1.2999999999999999E-2</v>
      </c>
      <c r="I476" t="s">
        <v>816</v>
      </c>
      <c r="J476" t="s">
        <v>790</v>
      </c>
    </row>
    <row r="477" spans="1:10">
      <c r="A477" t="s">
        <v>1008</v>
      </c>
      <c r="B477" t="s">
        <v>346</v>
      </c>
      <c r="C477">
        <v>5</v>
      </c>
      <c r="E477">
        <v>48771.606</v>
      </c>
      <c r="G477">
        <v>8.0000000000000002E-3</v>
      </c>
      <c r="I477" t="s">
        <v>816</v>
      </c>
      <c r="J477" t="s">
        <v>790</v>
      </c>
    </row>
    <row r="478" spans="1:10">
      <c r="A478" t="s">
        <v>997</v>
      </c>
      <c r="B478" t="s">
        <v>283</v>
      </c>
      <c r="C478">
        <v>2</v>
      </c>
      <c r="E478">
        <v>48460.59</v>
      </c>
      <c r="G478">
        <v>0.03</v>
      </c>
      <c r="I478" t="s">
        <v>816</v>
      </c>
      <c r="J478" t="s">
        <v>790</v>
      </c>
    </row>
    <row r="479" spans="1:10">
      <c r="A479" t="s">
        <v>997</v>
      </c>
      <c r="B479" t="s">
        <v>283</v>
      </c>
      <c r="C479">
        <v>3</v>
      </c>
      <c r="E479">
        <v>48629.67</v>
      </c>
      <c r="G479">
        <v>0.04</v>
      </c>
      <c r="I479" t="s">
        <v>816</v>
      </c>
      <c r="J479" t="s">
        <v>790</v>
      </c>
    </row>
    <row r="480" spans="1:10">
      <c r="A480" t="s">
        <v>997</v>
      </c>
      <c r="B480" t="s">
        <v>283</v>
      </c>
      <c r="C480">
        <v>4</v>
      </c>
      <c r="E480">
        <v>48774.39</v>
      </c>
      <c r="G480">
        <v>0.03</v>
      </c>
      <c r="I480" t="s">
        <v>816</v>
      </c>
      <c r="J480" t="s">
        <v>790</v>
      </c>
    </row>
    <row r="481" spans="1:10">
      <c r="A481" t="s">
        <v>997</v>
      </c>
      <c r="B481" t="s">
        <v>293</v>
      </c>
      <c r="C481">
        <v>3</v>
      </c>
      <c r="E481">
        <v>48542.31</v>
      </c>
      <c r="G481">
        <v>0.02</v>
      </c>
      <c r="I481" t="s">
        <v>816</v>
      </c>
      <c r="J481" t="s">
        <v>790</v>
      </c>
    </row>
    <row r="482" spans="1:10">
      <c r="A482" t="s">
        <v>997</v>
      </c>
      <c r="B482" t="s">
        <v>293</v>
      </c>
      <c r="C482">
        <v>4</v>
      </c>
      <c r="E482">
        <v>48684.34</v>
      </c>
      <c r="G482">
        <v>8.0000000000000002E-3</v>
      </c>
      <c r="I482" t="s">
        <v>816</v>
      </c>
      <c r="J482" t="s">
        <v>790</v>
      </c>
    </row>
    <row r="483" spans="1:10">
      <c r="A483" t="s">
        <v>997</v>
      </c>
      <c r="B483" t="s">
        <v>293</v>
      </c>
      <c r="C483">
        <v>5</v>
      </c>
      <c r="E483">
        <v>48874.86</v>
      </c>
      <c r="G483">
        <v>0.03</v>
      </c>
      <c r="I483" t="s">
        <v>816</v>
      </c>
      <c r="J483" t="s">
        <v>790</v>
      </c>
    </row>
    <row r="484" spans="1:10">
      <c r="A484" t="s">
        <v>1003</v>
      </c>
      <c r="B484" t="s">
        <v>159</v>
      </c>
      <c r="C484">
        <v>2</v>
      </c>
      <c r="E484">
        <v>48724.302000000003</v>
      </c>
      <c r="G484">
        <v>1.0999999999999999E-2</v>
      </c>
      <c r="I484" t="s">
        <v>816</v>
      </c>
      <c r="J484" t="s">
        <v>790</v>
      </c>
    </row>
    <row r="485" spans="1:10">
      <c r="A485" t="s">
        <v>1003</v>
      </c>
      <c r="B485" t="s">
        <v>159</v>
      </c>
      <c r="C485">
        <v>1</v>
      </c>
      <c r="E485">
        <v>48724.955000000002</v>
      </c>
      <c r="G485">
        <v>1.0999999999999999E-2</v>
      </c>
      <c r="I485" t="s">
        <v>816</v>
      </c>
      <c r="J485" t="s">
        <v>790</v>
      </c>
    </row>
    <row r="486" spans="1:10">
      <c r="A486" t="s">
        <v>1003</v>
      </c>
      <c r="B486" t="s">
        <v>159</v>
      </c>
      <c r="C486">
        <v>3</v>
      </c>
      <c r="E486">
        <v>48839.707999999999</v>
      </c>
      <c r="G486">
        <v>7.0000000000000001E-3</v>
      </c>
      <c r="I486" t="s">
        <v>816</v>
      </c>
      <c r="J486" t="s">
        <v>790</v>
      </c>
    </row>
    <row r="487" spans="1:10">
      <c r="A487" t="s">
        <v>1003</v>
      </c>
      <c r="B487" t="s">
        <v>1020</v>
      </c>
      <c r="C487">
        <v>0</v>
      </c>
      <c r="E487">
        <v>48802.3</v>
      </c>
      <c r="G487">
        <v>1.2999999999999999E-2</v>
      </c>
      <c r="I487" t="s">
        <v>816</v>
      </c>
      <c r="J487" t="s">
        <v>790</v>
      </c>
    </row>
    <row r="488" spans="1:10">
      <c r="A488" t="s">
        <v>1003</v>
      </c>
      <c r="B488" t="s">
        <v>1020</v>
      </c>
      <c r="C488">
        <v>1</v>
      </c>
      <c r="E488">
        <v>48859.35</v>
      </c>
      <c r="G488">
        <v>8.0000000000000002E-3</v>
      </c>
      <c r="I488" t="s">
        <v>816</v>
      </c>
      <c r="J488" t="s">
        <v>790</v>
      </c>
    </row>
    <row r="489" spans="1:10">
      <c r="A489" t="s">
        <v>1003</v>
      </c>
      <c r="B489" t="s">
        <v>1020</v>
      </c>
      <c r="C489">
        <v>2</v>
      </c>
      <c r="E489">
        <v>48915.035000000003</v>
      </c>
      <c r="G489">
        <v>1.0999999999999999E-2</v>
      </c>
      <c r="I489" t="s">
        <v>816</v>
      </c>
      <c r="J489" t="s">
        <v>790</v>
      </c>
    </row>
    <row r="490" spans="1:10">
      <c r="A490" t="s">
        <v>1003</v>
      </c>
      <c r="B490" t="s">
        <v>1020</v>
      </c>
      <c r="C490">
        <v>3</v>
      </c>
      <c r="E490">
        <v>49024.375999999997</v>
      </c>
      <c r="G490">
        <v>1.0999999999999999E-2</v>
      </c>
      <c r="I490" t="s">
        <v>816</v>
      </c>
      <c r="J490" t="s">
        <v>790</v>
      </c>
    </row>
    <row r="491" spans="1:10">
      <c r="A491" t="s">
        <v>1003</v>
      </c>
      <c r="B491" t="s">
        <v>1020</v>
      </c>
      <c r="C491">
        <v>4</v>
      </c>
      <c r="E491">
        <v>49036.389000000003</v>
      </c>
      <c r="G491">
        <v>7.0000000000000001E-3</v>
      </c>
      <c r="I491" t="s">
        <v>816</v>
      </c>
      <c r="J491" t="s">
        <v>790</v>
      </c>
    </row>
    <row r="492" spans="1:10">
      <c r="A492" t="s">
        <v>1021</v>
      </c>
      <c r="B492" t="s">
        <v>397</v>
      </c>
      <c r="C492">
        <v>5</v>
      </c>
      <c r="E492">
        <v>49045.692000000003</v>
      </c>
      <c r="G492">
        <v>3.0000000000000001E-3</v>
      </c>
      <c r="I492" t="s">
        <v>816</v>
      </c>
      <c r="J492" t="s">
        <v>790</v>
      </c>
    </row>
    <row r="493" spans="1:10">
      <c r="A493" t="s">
        <v>1021</v>
      </c>
      <c r="B493" t="s">
        <v>397</v>
      </c>
      <c r="C493">
        <v>4</v>
      </c>
      <c r="E493">
        <v>49045.947999999997</v>
      </c>
      <c r="G493">
        <v>4.0000000000000001E-3</v>
      </c>
      <c r="I493" t="s">
        <v>816</v>
      </c>
      <c r="J493" t="s">
        <v>790</v>
      </c>
    </row>
    <row r="494" spans="1:10">
      <c r="A494" t="s">
        <v>1021</v>
      </c>
      <c r="B494" t="s">
        <v>390</v>
      </c>
      <c r="C494">
        <v>3</v>
      </c>
      <c r="E494">
        <v>49054.2137</v>
      </c>
      <c r="G494">
        <v>1.8E-3</v>
      </c>
      <c r="I494" t="s">
        <v>816</v>
      </c>
      <c r="J494" t="s">
        <v>790</v>
      </c>
    </row>
    <row r="495" spans="1:10">
      <c r="A495" t="s">
        <v>1021</v>
      </c>
      <c r="B495" t="s">
        <v>389</v>
      </c>
      <c r="C495">
        <v>3</v>
      </c>
      <c r="E495">
        <v>49061.189400000003</v>
      </c>
      <c r="G495">
        <v>2E-3</v>
      </c>
      <c r="I495" t="s">
        <v>816</v>
      </c>
      <c r="J495" t="s">
        <v>790</v>
      </c>
    </row>
    <row r="496" spans="1:10">
      <c r="A496" t="s">
        <v>1021</v>
      </c>
      <c r="B496" t="s">
        <v>389</v>
      </c>
      <c r="C496">
        <v>4</v>
      </c>
      <c r="E496">
        <v>49064.286</v>
      </c>
      <c r="G496">
        <v>3.0000000000000001E-3</v>
      </c>
      <c r="I496" t="s">
        <v>816</v>
      </c>
      <c r="J496" t="s">
        <v>790</v>
      </c>
    </row>
    <row r="497" spans="1:10">
      <c r="A497" t="s">
        <v>997</v>
      </c>
      <c r="B497" t="s">
        <v>287</v>
      </c>
      <c r="C497">
        <v>1</v>
      </c>
      <c r="E497">
        <v>49080.326999999997</v>
      </c>
      <c r="G497">
        <v>1.7999999999999999E-2</v>
      </c>
      <c r="I497" t="s">
        <v>816</v>
      </c>
      <c r="J497" t="s">
        <v>790</v>
      </c>
    </row>
    <row r="498" spans="1:10">
      <c r="A498" t="s">
        <v>997</v>
      </c>
      <c r="B498" t="s">
        <v>287</v>
      </c>
      <c r="C498">
        <v>2</v>
      </c>
      <c r="E498">
        <v>49099.463000000003</v>
      </c>
      <c r="G498">
        <v>1.2E-2</v>
      </c>
      <c r="I498" t="s">
        <v>816</v>
      </c>
      <c r="J498" t="s">
        <v>790</v>
      </c>
    </row>
    <row r="499" spans="1:10">
      <c r="A499" t="s">
        <v>997</v>
      </c>
      <c r="B499" t="s">
        <v>287</v>
      </c>
      <c r="C499">
        <v>3</v>
      </c>
      <c r="E499">
        <v>49150.328999999998</v>
      </c>
      <c r="G499">
        <v>1.0999999999999999E-2</v>
      </c>
      <c r="I499" t="s">
        <v>816</v>
      </c>
      <c r="J499" t="s">
        <v>790</v>
      </c>
    </row>
    <row r="500" spans="1:10">
      <c r="A500" t="s">
        <v>1022</v>
      </c>
      <c r="B500" t="s">
        <v>389</v>
      </c>
      <c r="C500">
        <v>3</v>
      </c>
      <c r="E500">
        <v>49125.768400000001</v>
      </c>
      <c r="G500">
        <v>2E-3</v>
      </c>
      <c r="I500" t="s">
        <v>816</v>
      </c>
      <c r="J500" t="s">
        <v>790</v>
      </c>
    </row>
    <row r="501" spans="1:10">
      <c r="A501" t="s">
        <v>1022</v>
      </c>
      <c r="B501" t="s">
        <v>389</v>
      </c>
      <c r="C501">
        <v>4</v>
      </c>
      <c r="E501">
        <v>49134.747199999998</v>
      </c>
      <c r="G501">
        <v>1.5E-3</v>
      </c>
      <c r="I501" t="s">
        <v>816</v>
      </c>
      <c r="J501" t="s">
        <v>790</v>
      </c>
    </row>
    <row r="502" spans="1:10">
      <c r="A502" t="s">
        <v>1022</v>
      </c>
      <c r="B502" t="s">
        <v>388</v>
      </c>
      <c r="C502">
        <v>1</v>
      </c>
      <c r="E502">
        <v>49126.493999999999</v>
      </c>
      <c r="G502">
        <v>3.0000000000000001E-3</v>
      </c>
      <c r="I502" t="s">
        <v>816</v>
      </c>
      <c r="J502" t="s">
        <v>790</v>
      </c>
    </row>
    <row r="503" spans="1:10">
      <c r="A503" t="s">
        <v>1022</v>
      </c>
      <c r="B503" t="s">
        <v>395</v>
      </c>
      <c r="C503">
        <v>6</v>
      </c>
      <c r="E503">
        <v>49129.444000000003</v>
      </c>
      <c r="G503">
        <v>3.0000000000000001E-3</v>
      </c>
      <c r="I503" t="s">
        <v>816</v>
      </c>
      <c r="J503" t="s">
        <v>790</v>
      </c>
    </row>
    <row r="504" spans="1:10">
      <c r="A504" t="s">
        <v>1022</v>
      </c>
      <c r="B504" t="s">
        <v>390</v>
      </c>
      <c r="C504">
        <v>3</v>
      </c>
      <c r="E504">
        <v>49132.287400000001</v>
      </c>
      <c r="G504">
        <v>1.8E-3</v>
      </c>
      <c r="I504" t="s">
        <v>816</v>
      </c>
      <c r="J504" t="s">
        <v>790</v>
      </c>
    </row>
    <row r="505" spans="1:10">
      <c r="A505" t="s">
        <v>1022</v>
      </c>
      <c r="B505" t="s">
        <v>390</v>
      </c>
      <c r="C505">
        <v>2</v>
      </c>
      <c r="E505">
        <v>49133.811999999998</v>
      </c>
      <c r="G505">
        <v>3.0000000000000001E-3</v>
      </c>
      <c r="I505" t="s">
        <v>816</v>
      </c>
      <c r="J505" t="s">
        <v>790</v>
      </c>
    </row>
    <row r="506" spans="1:10">
      <c r="A506" t="s">
        <v>1022</v>
      </c>
      <c r="B506" t="s">
        <v>397</v>
      </c>
      <c r="C506">
        <v>5</v>
      </c>
      <c r="E506">
        <v>49136.787700000001</v>
      </c>
      <c r="G506">
        <v>1.6999999999999999E-3</v>
      </c>
      <c r="I506" t="s">
        <v>816</v>
      </c>
      <c r="J506" t="s">
        <v>790</v>
      </c>
    </row>
    <row r="507" spans="1:10">
      <c r="A507" t="s">
        <v>1022</v>
      </c>
      <c r="B507" t="s">
        <v>397</v>
      </c>
      <c r="C507">
        <v>4</v>
      </c>
      <c r="E507">
        <v>49137.691200000001</v>
      </c>
      <c r="G507">
        <v>1.9E-3</v>
      </c>
      <c r="I507" t="s">
        <v>816</v>
      </c>
      <c r="J507" t="s">
        <v>790</v>
      </c>
    </row>
    <row r="508" spans="1:10">
      <c r="A508" t="s">
        <v>1023</v>
      </c>
      <c r="B508" t="s">
        <v>1015</v>
      </c>
      <c r="C508">
        <v>6</v>
      </c>
      <c r="E508">
        <v>49230.464</v>
      </c>
      <c r="G508">
        <v>3.0000000000000001E-3</v>
      </c>
      <c r="I508" t="s">
        <v>816</v>
      </c>
      <c r="J508" t="s">
        <v>790</v>
      </c>
    </row>
    <row r="509" spans="1:10">
      <c r="A509" t="s">
        <v>1023</v>
      </c>
      <c r="B509" t="s">
        <v>389</v>
      </c>
      <c r="C509">
        <v>4</v>
      </c>
      <c r="E509">
        <v>49235.4807</v>
      </c>
      <c r="G509">
        <v>1.6999999999999999E-3</v>
      </c>
      <c r="I509" t="s">
        <v>816</v>
      </c>
      <c r="J509" t="s">
        <v>790</v>
      </c>
    </row>
    <row r="510" spans="1:10">
      <c r="A510" t="s">
        <v>1023</v>
      </c>
      <c r="B510" t="s">
        <v>389</v>
      </c>
      <c r="C510">
        <v>3</v>
      </c>
      <c r="E510">
        <v>49241.462399999997</v>
      </c>
      <c r="G510">
        <v>1.6000000000000001E-3</v>
      </c>
      <c r="I510" t="s">
        <v>816</v>
      </c>
      <c r="J510" t="s">
        <v>790</v>
      </c>
    </row>
    <row r="511" spans="1:10">
      <c r="A511" t="s">
        <v>1023</v>
      </c>
      <c r="B511" t="s">
        <v>390</v>
      </c>
      <c r="C511">
        <v>3</v>
      </c>
      <c r="E511">
        <v>49237.322</v>
      </c>
      <c r="G511">
        <v>1.8E-3</v>
      </c>
      <c r="I511" t="s">
        <v>816</v>
      </c>
      <c r="J511" t="s">
        <v>790</v>
      </c>
    </row>
    <row r="512" spans="1:10">
      <c r="A512" t="s">
        <v>1023</v>
      </c>
      <c r="B512" t="s">
        <v>395</v>
      </c>
      <c r="C512">
        <v>6</v>
      </c>
      <c r="E512">
        <v>49239.121500000001</v>
      </c>
      <c r="G512">
        <v>1.5E-3</v>
      </c>
      <c r="I512" t="s">
        <v>816</v>
      </c>
      <c r="J512" t="s">
        <v>790</v>
      </c>
    </row>
    <row r="513" spans="1:10">
      <c r="A513" t="s">
        <v>1023</v>
      </c>
      <c r="B513" t="s">
        <v>395</v>
      </c>
      <c r="C513">
        <v>5</v>
      </c>
      <c r="E513">
        <v>49243.930999999997</v>
      </c>
      <c r="G513">
        <v>3.0000000000000001E-3</v>
      </c>
      <c r="I513" t="s">
        <v>816</v>
      </c>
      <c r="J513" t="s">
        <v>790</v>
      </c>
    </row>
    <row r="514" spans="1:10">
      <c r="A514" t="s">
        <v>1023</v>
      </c>
      <c r="B514" t="s">
        <v>397</v>
      </c>
      <c r="C514">
        <v>5</v>
      </c>
      <c r="E514">
        <v>49239.617899999997</v>
      </c>
      <c r="G514">
        <v>1.6000000000000001E-3</v>
      </c>
      <c r="I514" t="s">
        <v>816</v>
      </c>
      <c r="J514" t="s">
        <v>790</v>
      </c>
    </row>
    <row r="515" spans="1:10">
      <c r="A515" t="s">
        <v>1023</v>
      </c>
      <c r="B515" t="s">
        <v>397</v>
      </c>
      <c r="C515">
        <v>4</v>
      </c>
      <c r="E515">
        <v>49243.311000000002</v>
      </c>
      <c r="G515">
        <v>2E-3</v>
      </c>
      <c r="I515" t="s">
        <v>816</v>
      </c>
      <c r="J515" t="s">
        <v>790</v>
      </c>
    </row>
    <row r="516" spans="1:10">
      <c r="A516" t="s">
        <v>1024</v>
      </c>
      <c r="B516" t="s">
        <v>1019</v>
      </c>
      <c r="C516">
        <v>8</v>
      </c>
      <c r="E516">
        <v>49342.211000000003</v>
      </c>
      <c r="G516">
        <v>5.0000000000000001E-3</v>
      </c>
      <c r="I516" t="s">
        <v>816</v>
      </c>
      <c r="J516" t="s">
        <v>790</v>
      </c>
    </row>
    <row r="517" spans="1:10">
      <c r="A517" t="s">
        <v>1024</v>
      </c>
      <c r="B517" t="s">
        <v>1019</v>
      </c>
      <c r="C517">
        <v>7</v>
      </c>
      <c r="E517">
        <v>49360.745999999999</v>
      </c>
      <c r="G517">
        <v>3.0000000000000001E-3</v>
      </c>
      <c r="I517" t="s">
        <v>816</v>
      </c>
      <c r="J517" t="s">
        <v>790</v>
      </c>
    </row>
    <row r="518" spans="1:10">
      <c r="A518" t="s">
        <v>1024</v>
      </c>
      <c r="B518" t="s">
        <v>389</v>
      </c>
      <c r="C518">
        <v>4</v>
      </c>
      <c r="E518">
        <v>49356.946000000004</v>
      </c>
      <c r="G518">
        <v>3.0000000000000001E-3</v>
      </c>
      <c r="I518" t="s">
        <v>816</v>
      </c>
      <c r="J518" t="s">
        <v>790</v>
      </c>
    </row>
    <row r="519" spans="1:10">
      <c r="A519" t="s">
        <v>1024</v>
      </c>
      <c r="B519" t="s">
        <v>389</v>
      </c>
      <c r="C519">
        <v>3</v>
      </c>
      <c r="E519">
        <v>49358.947999999997</v>
      </c>
      <c r="G519">
        <v>4.0000000000000001E-3</v>
      </c>
      <c r="I519" t="s">
        <v>816</v>
      </c>
      <c r="J519" t="s">
        <v>790</v>
      </c>
    </row>
    <row r="520" spans="1:10">
      <c r="A520" t="s">
        <v>1024</v>
      </c>
      <c r="B520" t="s">
        <v>397</v>
      </c>
      <c r="C520">
        <v>5</v>
      </c>
      <c r="E520">
        <v>49366.420700000002</v>
      </c>
      <c r="G520">
        <v>1.6000000000000001E-3</v>
      </c>
      <c r="I520" t="s">
        <v>816</v>
      </c>
      <c r="J520" t="s">
        <v>790</v>
      </c>
    </row>
    <row r="521" spans="1:10">
      <c r="A521" t="s">
        <v>1024</v>
      </c>
      <c r="B521" t="s">
        <v>397</v>
      </c>
      <c r="C521">
        <v>4</v>
      </c>
      <c r="E521">
        <v>49368.800999999999</v>
      </c>
      <c r="G521">
        <v>3.0000000000000001E-3</v>
      </c>
      <c r="I521" t="s">
        <v>816</v>
      </c>
      <c r="J521" t="s">
        <v>790</v>
      </c>
    </row>
    <row r="522" spans="1:10">
      <c r="A522" t="s">
        <v>1024</v>
      </c>
      <c r="B522" t="s">
        <v>1015</v>
      </c>
      <c r="C522">
        <v>7</v>
      </c>
      <c r="E522">
        <v>49367.146999999997</v>
      </c>
      <c r="G522">
        <v>2E-3</v>
      </c>
      <c r="I522" t="s">
        <v>816</v>
      </c>
      <c r="J522" t="s">
        <v>790</v>
      </c>
    </row>
    <row r="523" spans="1:10">
      <c r="A523" t="s">
        <v>1024</v>
      </c>
      <c r="B523" t="s">
        <v>1015</v>
      </c>
      <c r="C523">
        <v>6</v>
      </c>
      <c r="E523">
        <v>49369.597900000001</v>
      </c>
      <c r="G523">
        <v>1.6999999999999999E-3</v>
      </c>
      <c r="I523" t="s">
        <v>816</v>
      </c>
      <c r="J523" t="s">
        <v>790</v>
      </c>
    </row>
    <row r="524" spans="1:10">
      <c r="A524" t="s">
        <v>1024</v>
      </c>
      <c r="B524" t="s">
        <v>395</v>
      </c>
      <c r="C524">
        <v>6</v>
      </c>
      <c r="E524">
        <v>49373.798900000002</v>
      </c>
      <c r="G524">
        <v>1.9E-3</v>
      </c>
      <c r="I524" t="s">
        <v>816</v>
      </c>
      <c r="J524" t="s">
        <v>790</v>
      </c>
    </row>
    <row r="525" spans="1:10">
      <c r="A525" t="s">
        <v>1024</v>
      </c>
      <c r="B525" t="s">
        <v>395</v>
      </c>
      <c r="C525">
        <v>5</v>
      </c>
      <c r="E525">
        <v>49377.451000000001</v>
      </c>
      <c r="G525">
        <v>2E-3</v>
      </c>
      <c r="I525" t="s">
        <v>816</v>
      </c>
      <c r="J525" t="s">
        <v>790</v>
      </c>
    </row>
    <row r="526" spans="1:10">
      <c r="A526" t="s">
        <v>1025</v>
      </c>
      <c r="B526" t="s">
        <v>361</v>
      </c>
      <c r="C526">
        <v>4</v>
      </c>
      <c r="E526">
        <v>50653.970999999998</v>
      </c>
      <c r="G526">
        <v>3.0000000000000001E-3</v>
      </c>
      <c r="I526" t="s">
        <v>816</v>
      </c>
      <c r="J526" t="s">
        <v>790</v>
      </c>
    </row>
    <row r="527" spans="1:10">
      <c r="A527" t="s">
        <v>1025</v>
      </c>
      <c r="B527" t="s">
        <v>361</v>
      </c>
      <c r="C527">
        <v>5</v>
      </c>
      <c r="E527">
        <v>50653.972999999998</v>
      </c>
      <c r="G527">
        <v>2E-3</v>
      </c>
      <c r="I527" t="s">
        <v>816</v>
      </c>
      <c r="J527" t="s">
        <v>790</v>
      </c>
    </row>
    <row r="528" spans="1:10">
      <c r="A528" t="s">
        <v>1025</v>
      </c>
      <c r="B528" t="s">
        <v>363</v>
      </c>
      <c r="C528">
        <v>4</v>
      </c>
      <c r="E528">
        <v>50654.758999999998</v>
      </c>
      <c r="G528">
        <v>3.0000000000000001E-3</v>
      </c>
      <c r="I528" t="s">
        <v>816</v>
      </c>
      <c r="J528" t="s">
        <v>790</v>
      </c>
    </row>
    <row r="529" spans="1:10">
      <c r="A529" t="s">
        <v>1025</v>
      </c>
      <c r="B529" t="s">
        <v>363</v>
      </c>
      <c r="C529">
        <v>3</v>
      </c>
      <c r="E529">
        <v>50654.773999999998</v>
      </c>
      <c r="G529">
        <v>3.0000000000000001E-3</v>
      </c>
      <c r="I529" t="s">
        <v>816</v>
      </c>
      <c r="J529" t="s">
        <v>790</v>
      </c>
    </row>
    <row r="530" spans="1:10">
      <c r="A530" t="s">
        <v>1025</v>
      </c>
      <c r="B530" t="s">
        <v>428</v>
      </c>
      <c r="C530">
        <v>5</v>
      </c>
      <c r="E530">
        <v>50655.489000000001</v>
      </c>
      <c r="G530">
        <v>2E-3</v>
      </c>
      <c r="I530" t="s">
        <v>816</v>
      </c>
      <c r="J530" t="s">
        <v>790</v>
      </c>
    </row>
    <row r="531" spans="1:10">
      <c r="A531" t="s">
        <v>1025</v>
      </c>
      <c r="B531" t="s">
        <v>428</v>
      </c>
      <c r="C531">
        <v>6</v>
      </c>
      <c r="E531">
        <v>50655.493999999999</v>
      </c>
      <c r="G531">
        <v>3.0000000000000001E-3</v>
      </c>
      <c r="I531" t="s">
        <v>816</v>
      </c>
      <c r="J531" t="s">
        <v>790</v>
      </c>
    </row>
    <row r="532" spans="1:10">
      <c r="A532" t="s">
        <v>1026</v>
      </c>
      <c r="B532" t="s">
        <v>361</v>
      </c>
      <c r="C532">
        <v>5</v>
      </c>
      <c r="E532">
        <v>50748.49</v>
      </c>
      <c r="G532">
        <v>3.0000000000000001E-3</v>
      </c>
      <c r="I532" t="s">
        <v>816</v>
      </c>
      <c r="J532" t="s">
        <v>790</v>
      </c>
    </row>
    <row r="533" spans="1:10">
      <c r="A533" t="s">
        <v>1026</v>
      </c>
      <c r="B533" t="s">
        <v>361</v>
      </c>
      <c r="C533">
        <v>4</v>
      </c>
      <c r="E533">
        <v>50748.625999999997</v>
      </c>
      <c r="G533">
        <v>8.9999999999999993E-3</v>
      </c>
      <c r="I533" t="s">
        <v>816</v>
      </c>
      <c r="J533" t="s">
        <v>790</v>
      </c>
    </row>
    <row r="534" spans="1:10">
      <c r="A534" t="s">
        <v>1026</v>
      </c>
      <c r="B534" t="s">
        <v>428</v>
      </c>
      <c r="C534">
        <v>6</v>
      </c>
      <c r="E534">
        <v>50748.493000000002</v>
      </c>
      <c r="G534">
        <v>3.0000000000000001E-3</v>
      </c>
      <c r="I534" t="s">
        <v>816</v>
      </c>
      <c r="J534" t="s">
        <v>790</v>
      </c>
    </row>
    <row r="535" spans="1:10">
      <c r="A535" t="s">
        <v>1026</v>
      </c>
      <c r="B535" t="s">
        <v>428</v>
      </c>
      <c r="C535">
        <v>5</v>
      </c>
      <c r="E535">
        <v>50748.618000000002</v>
      </c>
      <c r="G535">
        <v>4.0000000000000001E-3</v>
      </c>
      <c r="I535" t="s">
        <v>816</v>
      </c>
      <c r="J535" t="s">
        <v>790</v>
      </c>
    </row>
    <row r="536" spans="1:10">
      <c r="A536" t="s">
        <v>1026</v>
      </c>
      <c r="B536" t="s">
        <v>363</v>
      </c>
      <c r="C536">
        <v>4</v>
      </c>
      <c r="E536">
        <v>50748.836000000003</v>
      </c>
      <c r="G536">
        <v>3.0000000000000001E-3</v>
      </c>
      <c r="I536" t="s">
        <v>816</v>
      </c>
      <c r="J536" t="s">
        <v>790</v>
      </c>
    </row>
    <row r="537" spans="1:10">
      <c r="A537" t="s">
        <v>1026</v>
      </c>
      <c r="B537" t="s">
        <v>363</v>
      </c>
      <c r="C537">
        <v>3</v>
      </c>
      <c r="E537">
        <v>50749.398000000001</v>
      </c>
      <c r="G537">
        <v>3.0000000000000001E-3</v>
      </c>
      <c r="I537" t="s">
        <v>816</v>
      </c>
      <c r="J537" t="s">
        <v>790</v>
      </c>
    </row>
    <row r="538" spans="1:10">
      <c r="A538" t="s">
        <v>1026</v>
      </c>
      <c r="B538" t="s">
        <v>425</v>
      </c>
      <c r="C538">
        <v>6</v>
      </c>
      <c r="E538">
        <v>50749.625</v>
      </c>
      <c r="G538">
        <v>3.0000000000000001E-3</v>
      </c>
      <c r="I538" t="s">
        <v>816</v>
      </c>
      <c r="J538" t="s">
        <v>790</v>
      </c>
    </row>
    <row r="539" spans="1:10">
      <c r="A539" t="s">
        <v>1026</v>
      </c>
      <c r="B539" t="s">
        <v>425</v>
      </c>
      <c r="C539">
        <v>7</v>
      </c>
      <c r="E539">
        <v>50749.631999999998</v>
      </c>
      <c r="G539">
        <v>4.0000000000000001E-3</v>
      </c>
      <c r="I539" t="s">
        <v>816</v>
      </c>
      <c r="J539" t="s">
        <v>790</v>
      </c>
    </row>
    <row r="540" spans="1:10">
      <c r="A540" t="s">
        <v>1027</v>
      </c>
      <c r="B540" t="s">
        <v>428</v>
      </c>
      <c r="C540">
        <v>5</v>
      </c>
      <c r="E540">
        <v>50879.807000000001</v>
      </c>
      <c r="G540">
        <v>6.0000000000000001E-3</v>
      </c>
      <c r="I540" t="s">
        <v>816</v>
      </c>
      <c r="J540" t="s">
        <v>790</v>
      </c>
    </row>
    <row r="541" spans="1:10">
      <c r="A541" t="s">
        <v>1027</v>
      </c>
      <c r="B541" t="s">
        <v>428</v>
      </c>
      <c r="C541">
        <v>6</v>
      </c>
      <c r="E541">
        <v>50879.892</v>
      </c>
      <c r="G541">
        <v>3.0000000000000001E-3</v>
      </c>
      <c r="I541" t="s">
        <v>816</v>
      </c>
      <c r="J541" t="s">
        <v>790</v>
      </c>
    </row>
    <row r="542" spans="1:10">
      <c r="A542" t="s">
        <v>1027</v>
      </c>
      <c r="B542" t="s">
        <v>361</v>
      </c>
      <c r="C542">
        <v>5</v>
      </c>
      <c r="E542">
        <v>50879.881999999998</v>
      </c>
      <c r="G542">
        <v>3.0000000000000001E-3</v>
      </c>
      <c r="I542" t="s">
        <v>816</v>
      </c>
      <c r="J542" t="s">
        <v>790</v>
      </c>
    </row>
    <row r="543" spans="1:10">
      <c r="A543" t="s">
        <v>1027</v>
      </c>
      <c r="B543" t="s">
        <v>361</v>
      </c>
      <c r="C543">
        <v>4</v>
      </c>
      <c r="E543">
        <v>50880.595999999998</v>
      </c>
      <c r="G543">
        <v>6.0000000000000001E-3</v>
      </c>
      <c r="I543" t="s">
        <v>816</v>
      </c>
      <c r="J543" t="s">
        <v>790</v>
      </c>
    </row>
    <row r="544" spans="1:10">
      <c r="A544" t="s">
        <v>1027</v>
      </c>
      <c r="B544" t="s">
        <v>425</v>
      </c>
      <c r="C544">
        <v>6</v>
      </c>
      <c r="E544">
        <v>50880.087</v>
      </c>
      <c r="G544">
        <v>3.0000000000000001E-3</v>
      </c>
      <c r="I544" t="s">
        <v>816</v>
      </c>
      <c r="J544" t="s">
        <v>790</v>
      </c>
    </row>
    <row r="545" spans="1:10">
      <c r="A545" t="s">
        <v>1027</v>
      </c>
      <c r="B545" t="s">
        <v>425</v>
      </c>
      <c r="C545">
        <v>7</v>
      </c>
      <c r="E545">
        <v>50880.093999999997</v>
      </c>
      <c r="G545">
        <v>4.0000000000000001E-3</v>
      </c>
      <c r="I545" t="s">
        <v>816</v>
      </c>
      <c r="J545" t="s">
        <v>790</v>
      </c>
    </row>
    <row r="546" spans="1:10">
      <c r="A546" t="s">
        <v>1027</v>
      </c>
      <c r="B546" t="s">
        <v>1028</v>
      </c>
      <c r="C546">
        <v>7</v>
      </c>
      <c r="E546">
        <v>50881.489000000001</v>
      </c>
      <c r="G546">
        <v>3.0000000000000001E-3</v>
      </c>
      <c r="I546" t="s">
        <v>816</v>
      </c>
      <c r="J546" t="s">
        <v>790</v>
      </c>
    </row>
    <row r="547" spans="1:10">
      <c r="A547" t="s">
        <v>1027</v>
      </c>
      <c r="B547" t="s">
        <v>1028</v>
      </c>
      <c r="C547">
        <v>8</v>
      </c>
      <c r="E547">
        <v>50881.491000000002</v>
      </c>
      <c r="G547">
        <v>3.0000000000000001E-3</v>
      </c>
      <c r="I547" t="s">
        <v>816</v>
      </c>
      <c r="J547" t="s">
        <v>790</v>
      </c>
    </row>
    <row r="548" spans="1:10">
      <c r="A548" t="s">
        <v>1029</v>
      </c>
      <c r="B548" t="s">
        <v>425</v>
      </c>
      <c r="C548">
        <v>7</v>
      </c>
      <c r="E548">
        <v>51047.103999999999</v>
      </c>
      <c r="G548">
        <v>3.0000000000000001E-3</v>
      </c>
      <c r="I548" t="s">
        <v>816</v>
      </c>
      <c r="J548" t="s">
        <v>790</v>
      </c>
    </row>
    <row r="549" spans="1:10">
      <c r="A549" t="s">
        <v>1029</v>
      </c>
      <c r="B549" t="s">
        <v>425</v>
      </c>
      <c r="C549">
        <v>6</v>
      </c>
      <c r="E549">
        <v>51047.112000000001</v>
      </c>
      <c r="G549">
        <v>3.0000000000000001E-3</v>
      </c>
      <c r="I549" t="s">
        <v>816</v>
      </c>
      <c r="J549" t="s">
        <v>790</v>
      </c>
    </row>
    <row r="550" spans="1:10">
      <c r="A550" t="s">
        <v>1029</v>
      </c>
      <c r="B550" t="s">
        <v>428</v>
      </c>
      <c r="C550">
        <v>5</v>
      </c>
      <c r="E550">
        <v>51047.427000000003</v>
      </c>
      <c r="G550">
        <v>3.0000000000000001E-3</v>
      </c>
      <c r="I550" t="s">
        <v>816</v>
      </c>
      <c r="J550" t="s">
        <v>790</v>
      </c>
    </row>
    <row r="551" spans="1:10">
      <c r="A551" t="s">
        <v>1029</v>
      </c>
      <c r="B551" t="s">
        <v>428</v>
      </c>
      <c r="C551">
        <v>6</v>
      </c>
      <c r="E551">
        <v>51047.429499999998</v>
      </c>
      <c r="G551">
        <v>1.8E-3</v>
      </c>
      <c r="I551" t="s">
        <v>816</v>
      </c>
      <c r="J551" t="s">
        <v>790</v>
      </c>
    </row>
    <row r="552" spans="1:10">
      <c r="A552" t="s">
        <v>1029</v>
      </c>
      <c r="B552" t="s">
        <v>1028</v>
      </c>
      <c r="C552">
        <v>8</v>
      </c>
      <c r="E552">
        <v>51047.875999999997</v>
      </c>
      <c r="G552">
        <v>3.0000000000000001E-3</v>
      </c>
      <c r="I552" t="s">
        <v>816</v>
      </c>
      <c r="J552" t="s">
        <v>790</v>
      </c>
    </row>
    <row r="553" spans="1:10">
      <c r="A553" t="s">
        <v>1029</v>
      </c>
      <c r="B553" t="s">
        <v>1028</v>
      </c>
      <c r="C553">
        <v>7</v>
      </c>
      <c r="E553">
        <v>51047.877</v>
      </c>
      <c r="G553">
        <v>3.0000000000000001E-3</v>
      </c>
      <c r="I553" t="s">
        <v>816</v>
      </c>
      <c r="J553" t="s">
        <v>790</v>
      </c>
    </row>
    <row r="554" spans="1:10">
      <c r="A554" t="s">
        <v>1029</v>
      </c>
      <c r="B554" t="s">
        <v>361</v>
      </c>
      <c r="C554">
        <v>5</v>
      </c>
      <c r="E554">
        <v>51048.24</v>
      </c>
      <c r="G554">
        <v>2E-3</v>
      </c>
      <c r="I554" t="s">
        <v>816</v>
      </c>
      <c r="J554" t="s">
        <v>790</v>
      </c>
    </row>
    <row r="555" spans="1:10">
      <c r="A555" t="s">
        <v>1029</v>
      </c>
      <c r="B555" t="s">
        <v>361</v>
      </c>
      <c r="C555">
        <v>4</v>
      </c>
      <c r="E555">
        <v>51048.243999999999</v>
      </c>
      <c r="G555">
        <v>3.0000000000000001E-3</v>
      </c>
      <c r="I555" t="s">
        <v>816</v>
      </c>
      <c r="J555" t="s">
        <v>790</v>
      </c>
    </row>
    <row r="556" spans="1:10">
      <c r="A556" t="s">
        <v>1029</v>
      </c>
      <c r="B556" t="s">
        <v>363</v>
      </c>
      <c r="C556">
        <v>4</v>
      </c>
      <c r="E556">
        <v>51048.864999999998</v>
      </c>
      <c r="G556">
        <v>6.0000000000000001E-3</v>
      </c>
      <c r="I556" t="s">
        <v>816</v>
      </c>
      <c r="J556" t="s">
        <v>790</v>
      </c>
    </row>
    <row r="557" spans="1:10">
      <c r="A557" t="s">
        <v>1029</v>
      </c>
      <c r="B557" t="s">
        <v>363</v>
      </c>
      <c r="C557">
        <v>3</v>
      </c>
      <c r="E557">
        <v>51049.987999999998</v>
      </c>
      <c r="G557">
        <v>7.0000000000000001E-3</v>
      </c>
      <c r="I557" t="s">
        <v>816</v>
      </c>
      <c r="J557" t="s">
        <v>790</v>
      </c>
    </row>
    <row r="558" spans="1:10">
      <c r="A558" t="s">
        <v>1029</v>
      </c>
      <c r="B558" t="s">
        <v>1030</v>
      </c>
      <c r="C558">
        <v>9</v>
      </c>
      <c r="E558">
        <v>51049.64</v>
      </c>
      <c r="G558">
        <v>4.0000000000000001E-3</v>
      </c>
      <c r="I558" t="s">
        <v>816</v>
      </c>
      <c r="J558" t="s">
        <v>790</v>
      </c>
    </row>
    <row r="559" spans="1:10">
      <c r="A559" t="s">
        <v>1029</v>
      </c>
      <c r="B559" t="s">
        <v>1030</v>
      </c>
      <c r="C559">
        <v>8</v>
      </c>
      <c r="E559">
        <v>51049.642</v>
      </c>
      <c r="G559">
        <v>3.0000000000000001E-3</v>
      </c>
      <c r="I559" t="s">
        <v>816</v>
      </c>
      <c r="J559" t="s">
        <v>790</v>
      </c>
    </row>
    <row r="560" spans="1:10">
      <c r="A560" t="s">
        <v>1031</v>
      </c>
      <c r="B560" t="s">
        <v>202</v>
      </c>
      <c r="C560" t="s">
        <v>203</v>
      </c>
      <c r="E560">
        <v>55072.5</v>
      </c>
      <c r="G560">
        <v>0.1</v>
      </c>
      <c r="I560" t="s">
        <v>816</v>
      </c>
      <c r="J560" t="s">
        <v>1032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9C42-B8DD-4CE4-B693-C1BB0A899564}">
  <dimension ref="A1:H129"/>
  <sheetViews>
    <sheetView workbookViewId="0">
      <selection sqref="A1:H1048576"/>
    </sheetView>
  </sheetViews>
  <sheetFormatPr defaultRowHeight="15"/>
  <cols>
    <col min="1" max="1" width="16" bestFit="1" customWidth="1"/>
    <col min="2" max="2" width="5.5703125" bestFit="1" customWidth="1"/>
    <col min="3" max="3" width="5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10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>
      <c r="A2" t="s">
        <v>4082</v>
      </c>
      <c r="B2" t="s">
        <v>264</v>
      </c>
      <c r="C2">
        <v>0</v>
      </c>
      <c r="E2">
        <v>0</v>
      </c>
      <c r="G2">
        <v>7.0000000000000001E-3</v>
      </c>
      <c r="H2" t="s">
        <v>12</v>
      </c>
    </row>
    <row r="3" spans="1:8">
      <c r="A3" t="s">
        <v>4083</v>
      </c>
      <c r="B3" t="s">
        <v>282</v>
      </c>
      <c r="C3">
        <v>0</v>
      </c>
      <c r="E3">
        <v>30113.99</v>
      </c>
      <c r="G3">
        <v>2E-3</v>
      </c>
      <c r="H3" t="s">
        <v>4084</v>
      </c>
    </row>
    <row r="4" spans="1:8">
      <c r="A4" t="s">
        <v>4083</v>
      </c>
      <c r="B4" t="s">
        <v>282</v>
      </c>
      <c r="C4">
        <v>1</v>
      </c>
      <c r="E4">
        <v>30656.087</v>
      </c>
      <c r="G4">
        <v>2E-3</v>
      </c>
      <c r="H4" t="s">
        <v>4084</v>
      </c>
    </row>
    <row r="5" spans="1:8">
      <c r="A5" t="s">
        <v>4083</v>
      </c>
      <c r="B5" t="s">
        <v>282</v>
      </c>
      <c r="C5">
        <v>2</v>
      </c>
      <c r="E5">
        <v>31826.952000000001</v>
      </c>
      <c r="G5">
        <v>2E-3</v>
      </c>
      <c r="H5" t="s">
        <v>4084</v>
      </c>
    </row>
    <row r="6" spans="1:8">
      <c r="A6" t="s">
        <v>4083</v>
      </c>
      <c r="B6" t="s">
        <v>303</v>
      </c>
      <c r="C6">
        <v>1</v>
      </c>
      <c r="E6">
        <v>43692.383999999998</v>
      </c>
      <c r="G6">
        <v>2E-3</v>
      </c>
      <c r="H6" t="s">
        <v>4084</v>
      </c>
    </row>
    <row r="7" spans="1:8">
      <c r="A7" t="s">
        <v>4085</v>
      </c>
      <c r="B7" t="s">
        <v>509</v>
      </c>
      <c r="C7">
        <v>1</v>
      </c>
      <c r="E7">
        <v>51483.98</v>
      </c>
      <c r="G7">
        <v>2E-3</v>
      </c>
      <c r="H7" t="s">
        <v>4084</v>
      </c>
    </row>
    <row r="8" spans="1:8">
      <c r="A8" t="s">
        <v>4085</v>
      </c>
      <c r="B8" t="s">
        <v>264</v>
      </c>
      <c r="C8">
        <v>0</v>
      </c>
      <c r="E8">
        <v>53310.101000000002</v>
      </c>
      <c r="G8">
        <v>0.01</v>
      </c>
      <c r="H8" t="s">
        <v>4084</v>
      </c>
    </row>
    <row r="9" spans="1:8">
      <c r="A9" t="s">
        <v>4086</v>
      </c>
      <c r="B9" t="s">
        <v>282</v>
      </c>
      <c r="C9">
        <v>0</v>
      </c>
      <c r="E9">
        <v>58390.9</v>
      </c>
      <c r="G9">
        <v>2.5</v>
      </c>
      <c r="H9" t="s">
        <v>12</v>
      </c>
    </row>
    <row r="10" spans="1:8">
      <c r="A10" t="s">
        <v>4086</v>
      </c>
      <c r="B10" t="s">
        <v>282</v>
      </c>
      <c r="C10">
        <v>1</v>
      </c>
      <c r="E10">
        <v>58461.599999999999</v>
      </c>
      <c r="G10">
        <v>2.5</v>
      </c>
      <c r="H10" t="s">
        <v>12</v>
      </c>
    </row>
    <row r="11" spans="1:8">
      <c r="A11" t="s">
        <v>4086</v>
      </c>
      <c r="B11" t="s">
        <v>282</v>
      </c>
      <c r="C11">
        <v>2</v>
      </c>
      <c r="E11">
        <v>58635.7</v>
      </c>
      <c r="G11">
        <v>2.5</v>
      </c>
      <c r="H11" t="s">
        <v>12</v>
      </c>
    </row>
    <row r="12" spans="1:8">
      <c r="A12" t="s">
        <v>4087</v>
      </c>
      <c r="B12" t="s">
        <v>259</v>
      </c>
      <c r="C12">
        <v>2</v>
      </c>
      <c r="E12">
        <v>59219.733999999997</v>
      </c>
      <c r="G12">
        <v>2E-3</v>
      </c>
      <c r="H12" t="s">
        <v>4084</v>
      </c>
    </row>
    <row r="13" spans="1:8">
      <c r="A13" t="s">
        <v>4087</v>
      </c>
      <c r="B13" t="s">
        <v>257</v>
      </c>
      <c r="C13">
        <v>1</v>
      </c>
      <c r="E13">
        <v>59485.767999999996</v>
      </c>
      <c r="G13">
        <v>2E-3</v>
      </c>
      <c r="H13" t="s">
        <v>4084</v>
      </c>
    </row>
    <row r="14" spans="1:8">
      <c r="A14" t="s">
        <v>4087</v>
      </c>
      <c r="B14" t="s">
        <v>257</v>
      </c>
      <c r="C14">
        <v>2</v>
      </c>
      <c r="E14">
        <v>59497.868000000002</v>
      </c>
      <c r="G14">
        <v>2E-3</v>
      </c>
      <c r="H14" t="s">
        <v>4084</v>
      </c>
    </row>
    <row r="15" spans="1:8">
      <c r="A15" t="s">
        <v>4087</v>
      </c>
      <c r="B15" t="s">
        <v>257</v>
      </c>
      <c r="C15">
        <v>3</v>
      </c>
      <c r="E15">
        <v>59515.99</v>
      </c>
      <c r="G15">
        <v>0.02</v>
      </c>
      <c r="H15" t="s">
        <v>4088</v>
      </c>
    </row>
    <row r="16" spans="1:8">
      <c r="A16" t="s">
        <v>4086</v>
      </c>
      <c r="B16" t="s">
        <v>303</v>
      </c>
      <c r="C16">
        <v>1</v>
      </c>
      <c r="E16">
        <v>59907.28</v>
      </c>
      <c r="G16">
        <v>0.18</v>
      </c>
      <c r="H16" t="s">
        <v>2987</v>
      </c>
    </row>
    <row r="17" spans="1:8">
      <c r="A17" t="s">
        <v>4089</v>
      </c>
      <c r="B17" t="s">
        <v>509</v>
      </c>
      <c r="C17">
        <v>1</v>
      </c>
      <c r="E17">
        <v>62563.434999999998</v>
      </c>
      <c r="G17">
        <v>2E-3</v>
      </c>
      <c r="H17" t="s">
        <v>4084</v>
      </c>
    </row>
    <row r="18" spans="1:8">
      <c r="A18" t="s">
        <v>4089</v>
      </c>
      <c r="B18" t="s">
        <v>264</v>
      </c>
      <c r="C18">
        <v>0</v>
      </c>
      <c r="E18">
        <v>63086.896000000001</v>
      </c>
      <c r="G18">
        <v>2E-3</v>
      </c>
      <c r="H18" t="s">
        <v>4084</v>
      </c>
    </row>
    <row r="19" spans="1:8">
      <c r="A19" t="s">
        <v>4090</v>
      </c>
      <c r="B19" t="s">
        <v>282</v>
      </c>
      <c r="C19">
        <v>0</v>
      </c>
      <c r="E19">
        <v>64995.9</v>
      </c>
      <c r="G19">
        <v>2.5</v>
      </c>
      <c r="H19" t="s">
        <v>12</v>
      </c>
    </row>
    <row r="20" spans="1:8">
      <c r="A20" t="s">
        <v>4090</v>
      </c>
      <c r="B20" t="s">
        <v>282</v>
      </c>
      <c r="C20">
        <v>1</v>
      </c>
      <c r="E20">
        <v>65025.5</v>
      </c>
      <c r="G20">
        <v>0.3</v>
      </c>
      <c r="H20" t="s">
        <v>4091</v>
      </c>
    </row>
    <row r="21" spans="1:8">
      <c r="A21" t="s">
        <v>4090</v>
      </c>
      <c r="B21" t="s">
        <v>282</v>
      </c>
      <c r="C21">
        <v>2</v>
      </c>
      <c r="E21">
        <v>65093.701999999997</v>
      </c>
      <c r="G21">
        <v>1.6E-2</v>
      </c>
      <c r="H21" t="s">
        <v>4084</v>
      </c>
    </row>
    <row r="22" spans="1:8">
      <c r="A22" t="s">
        <v>4092</v>
      </c>
      <c r="B22" t="s">
        <v>259</v>
      </c>
      <c r="C22">
        <v>2</v>
      </c>
      <c r="E22">
        <v>65134.783000000003</v>
      </c>
      <c r="G22">
        <v>2E-3</v>
      </c>
      <c r="H22" t="s">
        <v>4084</v>
      </c>
    </row>
    <row r="23" spans="1:8">
      <c r="A23" t="s">
        <v>4092</v>
      </c>
      <c r="B23" t="s">
        <v>257</v>
      </c>
      <c r="C23">
        <v>1</v>
      </c>
      <c r="E23">
        <v>65353.372000000003</v>
      </c>
      <c r="G23">
        <v>2E-3</v>
      </c>
      <c r="H23" t="s">
        <v>4084</v>
      </c>
    </row>
    <row r="24" spans="1:8">
      <c r="A24" t="s">
        <v>4092</v>
      </c>
      <c r="B24" t="s">
        <v>257</v>
      </c>
      <c r="C24">
        <v>2</v>
      </c>
      <c r="E24">
        <v>65358.881000000001</v>
      </c>
      <c r="G24">
        <v>2E-3</v>
      </c>
      <c r="H24" t="s">
        <v>4084</v>
      </c>
    </row>
    <row r="25" spans="1:8">
      <c r="A25" t="s">
        <v>4092</v>
      </c>
      <c r="B25" t="s">
        <v>257</v>
      </c>
      <c r="C25">
        <v>3</v>
      </c>
      <c r="E25">
        <v>65367.226999999999</v>
      </c>
      <c r="G25">
        <v>0.02</v>
      </c>
      <c r="H25" t="s">
        <v>4084</v>
      </c>
    </row>
    <row r="26" spans="1:8">
      <c r="A26" t="s">
        <v>4090</v>
      </c>
      <c r="B26" t="s">
        <v>303</v>
      </c>
      <c r="C26">
        <v>1</v>
      </c>
      <c r="E26">
        <v>65501.411999999997</v>
      </c>
      <c r="G26">
        <v>1.6E-2</v>
      </c>
      <c r="H26" t="s">
        <v>4084</v>
      </c>
    </row>
    <row r="27" spans="1:8">
      <c r="A27" t="s">
        <v>4093</v>
      </c>
      <c r="B27" t="s">
        <v>283</v>
      </c>
      <c r="C27" t="s">
        <v>4094</v>
      </c>
      <c r="E27">
        <v>65586</v>
      </c>
      <c r="G27">
        <v>0.3</v>
      </c>
      <c r="H27" t="s">
        <v>4091</v>
      </c>
    </row>
    <row r="28" spans="1:8">
      <c r="A28" t="s">
        <v>4095</v>
      </c>
      <c r="B28" t="s">
        <v>509</v>
      </c>
      <c r="C28">
        <v>1</v>
      </c>
      <c r="E28">
        <v>66682.028999999995</v>
      </c>
      <c r="G28">
        <v>2E-3</v>
      </c>
      <c r="H28" t="s">
        <v>4084</v>
      </c>
    </row>
    <row r="29" spans="1:8">
      <c r="A29" t="s">
        <v>4095</v>
      </c>
      <c r="B29" t="s">
        <v>264</v>
      </c>
      <c r="C29">
        <v>0</v>
      </c>
      <c r="E29">
        <v>66905.641000000003</v>
      </c>
      <c r="G29">
        <v>0.01</v>
      </c>
      <c r="H29" t="s">
        <v>4084</v>
      </c>
    </row>
    <row r="30" spans="1:8">
      <c r="A30" t="s">
        <v>4096</v>
      </c>
      <c r="B30" t="s">
        <v>282</v>
      </c>
      <c r="C30">
        <v>0</v>
      </c>
      <c r="E30">
        <v>67829.656000000003</v>
      </c>
      <c r="G30">
        <v>0.02</v>
      </c>
      <c r="H30" t="s">
        <v>4084</v>
      </c>
    </row>
    <row r="31" spans="1:8">
      <c r="A31" t="s">
        <v>4096</v>
      </c>
      <c r="B31" t="s">
        <v>282</v>
      </c>
      <c r="C31">
        <v>1</v>
      </c>
      <c r="E31">
        <v>67842.06</v>
      </c>
      <c r="G31">
        <v>0.05</v>
      </c>
      <c r="H31" t="s">
        <v>4084</v>
      </c>
    </row>
    <row r="32" spans="1:8">
      <c r="A32" t="s">
        <v>4096</v>
      </c>
      <c r="B32" t="s">
        <v>282</v>
      </c>
      <c r="C32">
        <v>2</v>
      </c>
      <c r="E32">
        <v>67875.191000000006</v>
      </c>
      <c r="G32">
        <v>1.6E-2</v>
      </c>
      <c r="H32" t="s">
        <v>4084</v>
      </c>
    </row>
    <row r="33" spans="1:8">
      <c r="A33" t="s">
        <v>4097</v>
      </c>
      <c r="B33" t="s">
        <v>259</v>
      </c>
      <c r="C33">
        <v>2</v>
      </c>
      <c r="E33">
        <v>67838.400999999998</v>
      </c>
      <c r="G33">
        <v>2E-3</v>
      </c>
      <c r="H33" t="s">
        <v>4084</v>
      </c>
    </row>
    <row r="34" spans="1:8">
      <c r="A34" t="s">
        <v>4097</v>
      </c>
      <c r="B34" t="s">
        <v>257</v>
      </c>
      <c r="C34">
        <v>1</v>
      </c>
      <c r="E34">
        <v>67989.813999999998</v>
      </c>
      <c r="G34">
        <v>2E-3</v>
      </c>
      <c r="H34" t="s">
        <v>4084</v>
      </c>
    </row>
    <row r="35" spans="1:8">
      <c r="A35" t="s">
        <v>4097</v>
      </c>
      <c r="B35" t="s">
        <v>257</v>
      </c>
      <c r="C35">
        <v>2</v>
      </c>
      <c r="E35">
        <v>67992.707999999999</v>
      </c>
      <c r="G35">
        <v>2E-3</v>
      </c>
      <c r="H35" t="s">
        <v>4084</v>
      </c>
    </row>
    <row r="36" spans="1:8">
      <c r="A36" t="s">
        <v>4097</v>
      </c>
      <c r="B36" t="s">
        <v>257</v>
      </c>
      <c r="C36">
        <v>3</v>
      </c>
      <c r="E36">
        <v>67997.100999999995</v>
      </c>
      <c r="G36">
        <v>0.02</v>
      </c>
      <c r="H36" t="s">
        <v>4084</v>
      </c>
    </row>
    <row r="37" spans="1:8">
      <c r="A37" t="s">
        <v>4096</v>
      </c>
      <c r="B37" t="s">
        <v>303</v>
      </c>
      <c r="C37">
        <v>1</v>
      </c>
      <c r="E37">
        <v>68059.392999999996</v>
      </c>
      <c r="G37">
        <v>1.6E-2</v>
      </c>
      <c r="H37" t="s">
        <v>4084</v>
      </c>
    </row>
    <row r="38" spans="1:8">
      <c r="A38" t="s">
        <v>4098</v>
      </c>
      <c r="B38" t="s">
        <v>283</v>
      </c>
      <c r="C38" t="s">
        <v>4094</v>
      </c>
      <c r="E38">
        <v>68093.7</v>
      </c>
      <c r="G38">
        <v>2.5</v>
      </c>
      <c r="H38" t="s">
        <v>12</v>
      </c>
    </row>
    <row r="39" spans="1:8">
      <c r="A39" t="s">
        <v>4099</v>
      </c>
      <c r="B39" t="s">
        <v>509</v>
      </c>
      <c r="C39">
        <v>1</v>
      </c>
      <c r="E39">
        <v>68682.324999999997</v>
      </c>
      <c r="G39">
        <v>2E-3</v>
      </c>
      <c r="H39" t="s">
        <v>4084</v>
      </c>
    </row>
    <row r="40" spans="1:8">
      <c r="A40" t="s">
        <v>4099</v>
      </c>
      <c r="B40" t="s">
        <v>264</v>
      </c>
      <c r="C40">
        <v>0</v>
      </c>
      <c r="E40">
        <v>68798.759999999995</v>
      </c>
      <c r="G40">
        <v>0.01</v>
      </c>
      <c r="H40" t="s">
        <v>4084</v>
      </c>
    </row>
    <row r="41" spans="1:8">
      <c r="A41" t="s">
        <v>4100</v>
      </c>
      <c r="B41" t="s">
        <v>259</v>
      </c>
      <c r="C41">
        <v>2</v>
      </c>
      <c r="E41">
        <v>69297.084000000003</v>
      </c>
      <c r="G41">
        <v>1.6E-2</v>
      </c>
      <c r="H41" t="s">
        <v>4084</v>
      </c>
    </row>
    <row r="42" spans="1:8">
      <c r="A42" t="s">
        <v>4101</v>
      </c>
      <c r="B42" t="s">
        <v>282</v>
      </c>
      <c r="C42">
        <v>0</v>
      </c>
      <c r="E42">
        <v>69314</v>
      </c>
      <c r="G42">
        <v>0.3</v>
      </c>
      <c r="H42" t="s">
        <v>4091</v>
      </c>
    </row>
    <row r="43" spans="1:8">
      <c r="A43" t="s">
        <v>4101</v>
      </c>
      <c r="B43" t="s">
        <v>282</v>
      </c>
      <c r="C43">
        <v>1</v>
      </c>
      <c r="E43">
        <v>69320.899999999994</v>
      </c>
      <c r="G43">
        <v>0.3</v>
      </c>
      <c r="H43" t="s">
        <v>4091</v>
      </c>
    </row>
    <row r="44" spans="1:8">
      <c r="A44" t="s">
        <v>4101</v>
      </c>
      <c r="B44" t="s">
        <v>282</v>
      </c>
      <c r="C44">
        <v>2</v>
      </c>
      <c r="E44">
        <v>69339.8</v>
      </c>
      <c r="G44">
        <v>0.3</v>
      </c>
      <c r="H44" t="s">
        <v>4091</v>
      </c>
    </row>
    <row r="45" spans="1:8">
      <c r="A45" t="s">
        <v>4100</v>
      </c>
      <c r="B45" t="s">
        <v>257</v>
      </c>
      <c r="C45">
        <v>1</v>
      </c>
      <c r="E45">
        <v>69400.899999999994</v>
      </c>
      <c r="G45">
        <v>0.02</v>
      </c>
      <c r="H45" t="s">
        <v>4084</v>
      </c>
    </row>
    <row r="46" spans="1:8">
      <c r="A46" t="s">
        <v>4100</v>
      </c>
      <c r="B46" t="s">
        <v>257</v>
      </c>
      <c r="C46">
        <v>2</v>
      </c>
      <c r="E46">
        <v>69402.582999999999</v>
      </c>
      <c r="G46">
        <v>1.4999999999999999E-2</v>
      </c>
      <c r="H46" t="s">
        <v>4084</v>
      </c>
    </row>
    <row r="47" spans="1:8">
      <c r="A47" t="s">
        <v>4100</v>
      </c>
      <c r="B47" t="s">
        <v>257</v>
      </c>
      <c r="C47">
        <v>3</v>
      </c>
      <c r="E47">
        <v>69405.16</v>
      </c>
      <c r="G47">
        <v>0.02</v>
      </c>
      <c r="H47" t="s">
        <v>4084</v>
      </c>
    </row>
    <row r="48" spans="1:8">
      <c r="A48" t="s">
        <v>4101</v>
      </c>
      <c r="B48" t="s">
        <v>303</v>
      </c>
      <c r="C48">
        <v>1</v>
      </c>
      <c r="E48">
        <v>69439.13</v>
      </c>
      <c r="G48">
        <v>0.18</v>
      </c>
      <c r="H48" t="s">
        <v>2987</v>
      </c>
    </row>
    <row r="49" spans="1:8">
      <c r="A49" t="s">
        <v>4102</v>
      </c>
      <c r="B49" t="s">
        <v>283</v>
      </c>
      <c r="C49" t="s">
        <v>4094</v>
      </c>
      <c r="E49">
        <v>69456.399999999994</v>
      </c>
      <c r="G49">
        <v>0.3</v>
      </c>
      <c r="H49" t="s">
        <v>4091</v>
      </c>
    </row>
    <row r="50" spans="1:8">
      <c r="A50" t="s">
        <v>4103</v>
      </c>
      <c r="B50" t="s">
        <v>509</v>
      </c>
      <c r="C50">
        <v>1</v>
      </c>
      <c r="E50">
        <v>69806.813999999998</v>
      </c>
      <c r="G50">
        <v>2E-3</v>
      </c>
      <c r="H50" t="s">
        <v>4084</v>
      </c>
    </row>
    <row r="51" spans="1:8">
      <c r="A51" t="s">
        <v>4103</v>
      </c>
      <c r="B51" t="s">
        <v>264</v>
      </c>
      <c r="C51">
        <v>0</v>
      </c>
      <c r="E51">
        <v>69875.237999999998</v>
      </c>
      <c r="G51">
        <v>0.01</v>
      </c>
      <c r="H51" t="s">
        <v>4084</v>
      </c>
    </row>
    <row r="52" spans="1:8">
      <c r="A52" t="s">
        <v>4104</v>
      </c>
      <c r="B52" t="s">
        <v>259</v>
      </c>
      <c r="C52">
        <v>2</v>
      </c>
      <c r="E52">
        <v>70169.52</v>
      </c>
      <c r="G52">
        <v>0.18</v>
      </c>
      <c r="H52" t="s">
        <v>2987</v>
      </c>
    </row>
    <row r="53" spans="1:8">
      <c r="A53" t="s">
        <v>4105</v>
      </c>
      <c r="B53" t="s">
        <v>282</v>
      </c>
      <c r="C53">
        <v>0</v>
      </c>
      <c r="E53">
        <v>70191.399999999994</v>
      </c>
      <c r="G53">
        <v>0.3</v>
      </c>
      <c r="H53" t="s">
        <v>4091</v>
      </c>
    </row>
    <row r="54" spans="1:8">
      <c r="A54" t="s">
        <v>4105</v>
      </c>
      <c r="B54" t="s">
        <v>282</v>
      </c>
      <c r="C54">
        <v>1</v>
      </c>
      <c r="E54">
        <v>70195.7</v>
      </c>
      <c r="G54">
        <v>0.3</v>
      </c>
      <c r="H54" t="s">
        <v>4091</v>
      </c>
    </row>
    <row r="55" spans="1:8">
      <c r="A55" t="s">
        <v>4105</v>
      </c>
      <c r="B55" t="s">
        <v>282</v>
      </c>
      <c r="C55">
        <v>2</v>
      </c>
      <c r="E55">
        <v>70207.5</v>
      </c>
      <c r="G55">
        <v>0.3</v>
      </c>
      <c r="H55" t="s">
        <v>4091</v>
      </c>
    </row>
    <row r="56" spans="1:8">
      <c r="A56" t="s">
        <v>4104</v>
      </c>
      <c r="B56" t="s">
        <v>257</v>
      </c>
      <c r="C56">
        <v>1</v>
      </c>
      <c r="E56">
        <v>70244.09</v>
      </c>
      <c r="G56">
        <v>0.02</v>
      </c>
      <c r="H56" t="s">
        <v>4084</v>
      </c>
    </row>
    <row r="57" spans="1:8">
      <c r="A57" t="s">
        <v>4104</v>
      </c>
      <c r="B57" t="s">
        <v>257</v>
      </c>
      <c r="C57">
        <v>2</v>
      </c>
      <c r="E57">
        <v>70245.06</v>
      </c>
      <c r="G57">
        <v>1.4999999999999999E-2</v>
      </c>
      <c r="H57" t="s">
        <v>4084</v>
      </c>
    </row>
    <row r="58" spans="1:8">
      <c r="A58" t="s">
        <v>4104</v>
      </c>
      <c r="B58" t="s">
        <v>257</v>
      </c>
      <c r="C58">
        <v>3</v>
      </c>
      <c r="E58">
        <v>70246.741999999998</v>
      </c>
      <c r="G58">
        <v>0.02</v>
      </c>
      <c r="H58" t="s">
        <v>4084</v>
      </c>
    </row>
    <row r="59" spans="1:8">
      <c r="A59" t="s">
        <v>4105</v>
      </c>
      <c r="B59" t="s">
        <v>303</v>
      </c>
      <c r="C59">
        <v>1</v>
      </c>
      <c r="E59">
        <v>70267.37</v>
      </c>
      <c r="G59">
        <v>0.18</v>
      </c>
      <c r="H59" t="s">
        <v>2987</v>
      </c>
    </row>
    <row r="60" spans="1:8">
      <c r="A60" t="s">
        <v>4106</v>
      </c>
      <c r="B60" t="s">
        <v>283</v>
      </c>
      <c r="C60" t="s">
        <v>4094</v>
      </c>
      <c r="E60">
        <v>70277.399999999994</v>
      </c>
      <c r="G60">
        <v>0.3</v>
      </c>
      <c r="H60" t="s">
        <v>4091</v>
      </c>
    </row>
    <row r="61" spans="1:8">
      <c r="A61" t="s">
        <v>4107</v>
      </c>
      <c r="B61" t="s">
        <v>509</v>
      </c>
      <c r="C61">
        <v>1</v>
      </c>
      <c r="E61">
        <v>70502.039999999994</v>
      </c>
      <c r="G61">
        <v>0.02</v>
      </c>
      <c r="H61" t="s">
        <v>4084</v>
      </c>
    </row>
    <row r="62" spans="1:8">
      <c r="A62" t="s">
        <v>4107</v>
      </c>
      <c r="B62" t="s">
        <v>264</v>
      </c>
      <c r="C62">
        <v>0</v>
      </c>
      <c r="E62">
        <v>70545.73</v>
      </c>
      <c r="G62">
        <v>0.01</v>
      </c>
      <c r="H62" t="s">
        <v>4084</v>
      </c>
    </row>
    <row r="63" spans="1:8">
      <c r="A63" t="s">
        <v>4108</v>
      </c>
      <c r="B63" t="s">
        <v>259</v>
      </c>
      <c r="C63">
        <v>2</v>
      </c>
      <c r="E63">
        <v>70735.75</v>
      </c>
      <c r="G63">
        <v>0.18</v>
      </c>
      <c r="H63" t="s">
        <v>2987</v>
      </c>
    </row>
    <row r="64" spans="1:8">
      <c r="A64" t="s">
        <v>4108</v>
      </c>
      <c r="B64" t="s">
        <v>257</v>
      </c>
      <c r="C64">
        <v>1</v>
      </c>
      <c r="E64">
        <v>70787.850000000006</v>
      </c>
      <c r="G64">
        <v>2E-3</v>
      </c>
      <c r="H64" t="s">
        <v>4084</v>
      </c>
    </row>
    <row r="65" spans="1:8">
      <c r="A65" t="s">
        <v>4108</v>
      </c>
      <c r="B65" t="s">
        <v>257</v>
      </c>
      <c r="C65">
        <v>2</v>
      </c>
      <c r="E65">
        <v>70788.604999999996</v>
      </c>
      <c r="G65">
        <v>1.4999999999999999E-2</v>
      </c>
      <c r="H65" t="s">
        <v>4084</v>
      </c>
    </row>
    <row r="66" spans="1:8">
      <c r="A66" t="s">
        <v>4108</v>
      </c>
      <c r="B66" t="s">
        <v>257</v>
      </c>
      <c r="C66">
        <v>3</v>
      </c>
      <c r="E66">
        <v>70789.634000000005</v>
      </c>
      <c r="G66">
        <v>0.02</v>
      </c>
      <c r="H66" t="s">
        <v>4084</v>
      </c>
    </row>
    <row r="67" spans="1:8">
      <c r="A67" t="s">
        <v>4109</v>
      </c>
      <c r="B67" t="s">
        <v>303</v>
      </c>
      <c r="C67">
        <v>1</v>
      </c>
      <c r="E67">
        <v>70803.25</v>
      </c>
      <c r="G67">
        <v>0.18</v>
      </c>
      <c r="H67" t="s">
        <v>2987</v>
      </c>
    </row>
    <row r="68" spans="1:8">
      <c r="A68" t="s">
        <v>4110</v>
      </c>
      <c r="B68" t="s">
        <v>283</v>
      </c>
      <c r="C68" t="s">
        <v>4094</v>
      </c>
      <c r="E68">
        <v>70809.7</v>
      </c>
      <c r="G68">
        <v>0.3</v>
      </c>
      <c r="H68" t="s">
        <v>4091</v>
      </c>
    </row>
    <row r="69" spans="1:8">
      <c r="A69" t="s">
        <v>4111</v>
      </c>
      <c r="B69" t="s">
        <v>509</v>
      </c>
      <c r="C69">
        <v>1</v>
      </c>
      <c r="E69">
        <v>70961.993000000002</v>
      </c>
      <c r="G69">
        <v>1.6E-2</v>
      </c>
      <c r="H69" t="s">
        <v>4084</v>
      </c>
    </row>
    <row r="70" spans="1:8">
      <c r="A70" t="s">
        <v>4111</v>
      </c>
      <c r="B70" t="s">
        <v>264</v>
      </c>
      <c r="C70">
        <v>0</v>
      </c>
      <c r="E70">
        <v>70992.100000000006</v>
      </c>
      <c r="G70">
        <v>2.5</v>
      </c>
      <c r="H70" t="s">
        <v>12</v>
      </c>
    </row>
    <row r="71" spans="1:8">
      <c r="A71" t="s">
        <v>4112</v>
      </c>
      <c r="B71" t="s">
        <v>259</v>
      </c>
      <c r="C71">
        <v>2</v>
      </c>
      <c r="E71">
        <v>71120.77</v>
      </c>
      <c r="G71">
        <v>0.18</v>
      </c>
      <c r="H71" t="s">
        <v>2987</v>
      </c>
    </row>
    <row r="72" spans="1:8">
      <c r="A72" t="s">
        <v>4112</v>
      </c>
      <c r="B72" t="s">
        <v>257</v>
      </c>
      <c r="C72">
        <v>1</v>
      </c>
      <c r="E72">
        <v>71158.956999999995</v>
      </c>
      <c r="G72">
        <v>2E-3</v>
      </c>
      <c r="H72" t="s">
        <v>4084</v>
      </c>
    </row>
    <row r="73" spans="1:8">
      <c r="A73" t="s">
        <v>4112</v>
      </c>
      <c r="B73" t="s">
        <v>257</v>
      </c>
      <c r="C73">
        <v>2</v>
      </c>
      <c r="E73">
        <v>71159.527000000002</v>
      </c>
      <c r="G73">
        <v>1.4999999999999999E-2</v>
      </c>
      <c r="H73" t="s">
        <v>4084</v>
      </c>
    </row>
    <row r="74" spans="1:8">
      <c r="A74" t="s">
        <v>4112</v>
      </c>
      <c r="B74" t="s">
        <v>257</v>
      </c>
      <c r="C74">
        <v>3</v>
      </c>
      <c r="E74">
        <v>71160.319000000003</v>
      </c>
      <c r="G74">
        <v>0.02</v>
      </c>
      <c r="H74" t="s">
        <v>4084</v>
      </c>
    </row>
    <row r="75" spans="1:8">
      <c r="A75" t="s">
        <v>4113</v>
      </c>
      <c r="B75" t="s">
        <v>303</v>
      </c>
      <c r="C75">
        <v>1</v>
      </c>
      <c r="E75">
        <v>71169.73</v>
      </c>
      <c r="G75">
        <v>0.18</v>
      </c>
      <c r="H75" t="s">
        <v>2987</v>
      </c>
    </row>
    <row r="76" spans="1:8">
      <c r="A76" t="s">
        <v>4114</v>
      </c>
      <c r="B76" t="s">
        <v>283</v>
      </c>
      <c r="C76" t="s">
        <v>4094</v>
      </c>
      <c r="E76">
        <v>71174.2</v>
      </c>
      <c r="G76">
        <v>0.3</v>
      </c>
      <c r="H76" t="s">
        <v>4091</v>
      </c>
    </row>
    <row r="77" spans="1:8">
      <c r="A77" t="s">
        <v>4115</v>
      </c>
      <c r="B77" t="s">
        <v>509</v>
      </c>
      <c r="C77">
        <v>1</v>
      </c>
      <c r="E77">
        <v>71281.8</v>
      </c>
      <c r="G77">
        <v>2.5</v>
      </c>
      <c r="H77" t="s">
        <v>12</v>
      </c>
    </row>
    <row r="78" spans="1:8">
      <c r="A78" t="s">
        <v>4115</v>
      </c>
      <c r="B78" t="s">
        <v>264</v>
      </c>
      <c r="C78">
        <v>0</v>
      </c>
      <c r="E78">
        <v>71299</v>
      </c>
      <c r="G78">
        <v>2.5</v>
      </c>
      <c r="H78" t="s">
        <v>12</v>
      </c>
    </row>
    <row r="79" spans="1:8">
      <c r="A79" t="s">
        <v>4116</v>
      </c>
      <c r="B79" t="s">
        <v>257</v>
      </c>
      <c r="C79">
        <v>1</v>
      </c>
    </row>
    <row r="80" spans="1:8">
      <c r="A80" t="s">
        <v>4116</v>
      </c>
      <c r="B80" t="s">
        <v>257</v>
      </c>
      <c r="C80">
        <v>2</v>
      </c>
      <c r="E80">
        <v>71423.929999999993</v>
      </c>
      <c r="G80">
        <v>1.4999999999999999E-2</v>
      </c>
      <c r="H80" t="s">
        <v>4084</v>
      </c>
    </row>
    <row r="81" spans="1:8">
      <c r="A81" t="s">
        <v>4116</v>
      </c>
      <c r="B81" t="s">
        <v>257</v>
      </c>
      <c r="C81">
        <v>3</v>
      </c>
      <c r="E81">
        <v>71424.524000000005</v>
      </c>
      <c r="G81">
        <v>0.02</v>
      </c>
      <c r="H81" t="s">
        <v>4084</v>
      </c>
    </row>
    <row r="82" spans="1:8">
      <c r="A82" t="s">
        <v>4117</v>
      </c>
      <c r="B82" t="s">
        <v>296</v>
      </c>
      <c r="C82">
        <v>3</v>
      </c>
      <c r="E82">
        <v>71433.3</v>
      </c>
      <c r="G82">
        <v>0.3</v>
      </c>
      <c r="H82" t="s">
        <v>4091</v>
      </c>
    </row>
    <row r="83" spans="1:8">
      <c r="A83" t="s">
        <v>4117</v>
      </c>
      <c r="B83" t="s">
        <v>283</v>
      </c>
      <c r="C83" t="s">
        <v>4094</v>
      </c>
      <c r="E83">
        <v>71434.100000000006</v>
      </c>
      <c r="G83">
        <v>0.3</v>
      </c>
      <c r="H83" t="s">
        <v>4091</v>
      </c>
    </row>
    <row r="84" spans="1:8">
      <c r="A84" t="s">
        <v>4118</v>
      </c>
      <c r="B84" t="s">
        <v>509</v>
      </c>
      <c r="C84">
        <v>1</v>
      </c>
      <c r="E84">
        <v>71515.600000000006</v>
      </c>
      <c r="G84">
        <v>2.5</v>
      </c>
      <c r="H84" t="s">
        <v>12</v>
      </c>
    </row>
    <row r="85" spans="1:8">
      <c r="A85" t="s">
        <v>4118</v>
      </c>
      <c r="B85" t="s">
        <v>264</v>
      </c>
      <c r="C85">
        <v>0</v>
      </c>
      <c r="E85">
        <v>71528</v>
      </c>
      <c r="G85">
        <v>2.5</v>
      </c>
      <c r="H85" t="s">
        <v>12</v>
      </c>
    </row>
    <row r="86" spans="1:8">
      <c r="A86" t="s">
        <v>4119</v>
      </c>
      <c r="B86" t="s">
        <v>259</v>
      </c>
      <c r="C86">
        <v>2</v>
      </c>
      <c r="E86">
        <v>71596.3</v>
      </c>
      <c r="G86">
        <v>2.5</v>
      </c>
      <c r="H86" t="s">
        <v>12</v>
      </c>
    </row>
    <row r="87" spans="1:8">
      <c r="A87" t="s">
        <v>4119</v>
      </c>
      <c r="B87" t="s">
        <v>257</v>
      </c>
      <c r="C87" t="s">
        <v>4120</v>
      </c>
      <c r="E87">
        <v>71618.5</v>
      </c>
      <c r="G87">
        <v>2.5</v>
      </c>
      <c r="H87" t="s">
        <v>12</v>
      </c>
    </row>
    <row r="88" spans="1:8">
      <c r="A88" t="s">
        <v>4121</v>
      </c>
      <c r="B88" t="s">
        <v>509</v>
      </c>
      <c r="C88">
        <v>1</v>
      </c>
      <c r="E88">
        <v>71689.600000000006</v>
      </c>
      <c r="G88">
        <v>2.5</v>
      </c>
      <c r="H88" t="s">
        <v>12</v>
      </c>
    </row>
    <row r="89" spans="1:8">
      <c r="A89" t="s">
        <v>4121</v>
      </c>
      <c r="B89" t="s">
        <v>264</v>
      </c>
      <c r="C89">
        <v>0</v>
      </c>
      <c r="E89">
        <v>71692.399999999994</v>
      </c>
      <c r="G89">
        <v>2.5</v>
      </c>
      <c r="H89" t="s">
        <v>12</v>
      </c>
    </row>
    <row r="90" spans="1:8">
      <c r="A90" t="s">
        <v>4122</v>
      </c>
      <c r="B90" t="s">
        <v>259</v>
      </c>
      <c r="C90">
        <v>2</v>
      </c>
      <c r="E90">
        <v>71748.899999999994</v>
      </c>
      <c r="G90">
        <v>2.5</v>
      </c>
      <c r="H90" t="s">
        <v>12</v>
      </c>
    </row>
    <row r="91" spans="1:8">
      <c r="A91" t="s">
        <v>4122</v>
      </c>
      <c r="B91" t="s">
        <v>257</v>
      </c>
      <c r="C91" t="s">
        <v>4120</v>
      </c>
      <c r="E91">
        <v>71767.199999999997</v>
      </c>
      <c r="G91">
        <v>2.5</v>
      </c>
      <c r="H91" t="s">
        <v>12</v>
      </c>
    </row>
    <row r="92" spans="1:8">
      <c r="A92" t="s">
        <v>4123</v>
      </c>
      <c r="B92" t="s">
        <v>509</v>
      </c>
      <c r="C92">
        <v>1</v>
      </c>
      <c r="E92">
        <v>71818.600000000006</v>
      </c>
      <c r="G92">
        <v>2.5</v>
      </c>
      <c r="H92" t="s">
        <v>12</v>
      </c>
    </row>
    <row r="93" spans="1:8">
      <c r="A93" t="s">
        <v>4124</v>
      </c>
      <c r="B93" t="s">
        <v>259</v>
      </c>
      <c r="C93">
        <v>2</v>
      </c>
      <c r="E93">
        <v>71869.2</v>
      </c>
      <c r="G93">
        <v>2.5</v>
      </c>
      <c r="H93" t="s">
        <v>12</v>
      </c>
    </row>
    <row r="94" spans="1:8">
      <c r="A94" t="s">
        <v>4124</v>
      </c>
      <c r="B94" t="s">
        <v>257</v>
      </c>
      <c r="C94" t="s">
        <v>4120</v>
      </c>
      <c r="E94">
        <v>71880.7</v>
      </c>
      <c r="G94">
        <v>2.5</v>
      </c>
      <c r="H94" t="s">
        <v>12</v>
      </c>
    </row>
    <row r="95" spans="1:8">
      <c r="A95" t="s">
        <v>4125</v>
      </c>
      <c r="B95" t="s">
        <v>257</v>
      </c>
      <c r="C95" t="s">
        <v>4120</v>
      </c>
      <c r="E95">
        <v>71972.100000000006</v>
      </c>
      <c r="G95">
        <v>2.5</v>
      </c>
      <c r="H95" t="s">
        <v>12</v>
      </c>
    </row>
    <row r="96" spans="1:8">
      <c r="A96" t="s">
        <v>4126</v>
      </c>
      <c r="B96" t="s">
        <v>257</v>
      </c>
      <c r="C96" t="s">
        <v>4120</v>
      </c>
      <c r="E96">
        <v>72046.7</v>
      </c>
      <c r="G96">
        <v>2.5</v>
      </c>
      <c r="H96" t="s">
        <v>12</v>
      </c>
    </row>
    <row r="97" spans="1:8">
      <c r="A97" t="s">
        <v>4127</v>
      </c>
      <c r="B97" t="s">
        <v>257</v>
      </c>
      <c r="C97" t="s">
        <v>4120</v>
      </c>
      <c r="E97">
        <v>72108.2</v>
      </c>
      <c r="G97">
        <v>2.5</v>
      </c>
      <c r="H97" t="s">
        <v>12</v>
      </c>
    </row>
    <row r="98" spans="1:8">
      <c r="A98" t="s">
        <v>4128</v>
      </c>
      <c r="B98" t="s">
        <v>257</v>
      </c>
      <c r="C98" t="s">
        <v>4120</v>
      </c>
      <c r="E98">
        <v>72155.7</v>
      </c>
      <c r="G98">
        <v>2.5</v>
      </c>
      <c r="H98" t="s">
        <v>12</v>
      </c>
    </row>
    <row r="99" spans="1:8">
      <c r="A99" t="s">
        <v>4129</v>
      </c>
      <c r="B99" t="s">
        <v>202</v>
      </c>
      <c r="C99" t="s">
        <v>203</v>
      </c>
      <c r="E99">
        <v>72540.05</v>
      </c>
      <c r="G99">
        <v>0.13</v>
      </c>
      <c r="H99" t="s">
        <v>4130</v>
      </c>
    </row>
    <row r="100" spans="1:8">
      <c r="A100" t="s">
        <v>4131</v>
      </c>
      <c r="B100" t="s">
        <v>266</v>
      </c>
      <c r="C100">
        <v>0</v>
      </c>
      <c r="E100">
        <v>73996.2</v>
      </c>
      <c r="G100">
        <v>2.5</v>
      </c>
      <c r="H100" t="s">
        <v>12</v>
      </c>
    </row>
    <row r="101" spans="1:8">
      <c r="A101" t="s">
        <v>4131</v>
      </c>
      <c r="B101" t="s">
        <v>266</v>
      </c>
      <c r="C101">
        <v>1</v>
      </c>
      <c r="E101">
        <v>74745.399999999994</v>
      </c>
      <c r="G101">
        <v>2.5</v>
      </c>
      <c r="H101" t="s">
        <v>12</v>
      </c>
    </row>
    <row r="102" spans="1:8">
      <c r="A102" t="s">
        <v>4131</v>
      </c>
      <c r="B102" t="s">
        <v>266</v>
      </c>
      <c r="C102">
        <v>2</v>
      </c>
      <c r="E102">
        <v>75860</v>
      </c>
      <c r="G102">
        <v>5</v>
      </c>
      <c r="H102" t="s">
        <v>12</v>
      </c>
    </row>
    <row r="103" spans="1:8">
      <c r="A103" t="s">
        <v>4132</v>
      </c>
      <c r="B103" t="s">
        <v>303</v>
      </c>
      <c r="C103">
        <v>1</v>
      </c>
      <c r="E103">
        <v>97800</v>
      </c>
      <c r="G103">
        <v>20</v>
      </c>
      <c r="H103" t="s">
        <v>12</v>
      </c>
    </row>
    <row r="104" spans="1:8">
      <c r="A104" t="s">
        <v>4132</v>
      </c>
      <c r="B104" t="s">
        <v>282</v>
      </c>
      <c r="C104">
        <v>1</v>
      </c>
      <c r="E104">
        <v>103420</v>
      </c>
      <c r="G104">
        <v>20</v>
      </c>
      <c r="H104" t="s">
        <v>12</v>
      </c>
    </row>
    <row r="105" spans="1:8">
      <c r="A105" t="s">
        <v>4132</v>
      </c>
      <c r="B105" t="s">
        <v>287</v>
      </c>
      <c r="C105">
        <v>1</v>
      </c>
      <c r="E105">
        <v>104351</v>
      </c>
      <c r="G105">
        <v>20</v>
      </c>
      <c r="H105" t="s">
        <v>12</v>
      </c>
    </row>
    <row r="106" spans="1:8">
      <c r="A106" t="s">
        <v>4133</v>
      </c>
      <c r="B106" t="s">
        <v>303</v>
      </c>
      <c r="C106">
        <v>1</v>
      </c>
      <c r="E106">
        <v>127464</v>
      </c>
      <c r="G106">
        <v>20</v>
      </c>
      <c r="H106" t="s">
        <v>12</v>
      </c>
    </row>
    <row r="107" spans="1:8">
      <c r="A107" t="s">
        <v>4133</v>
      </c>
      <c r="B107" t="s">
        <v>282</v>
      </c>
      <c r="C107">
        <v>1</v>
      </c>
      <c r="E107">
        <v>132698</v>
      </c>
      <c r="G107">
        <v>20</v>
      </c>
      <c r="H107" t="s">
        <v>12</v>
      </c>
    </row>
    <row r="108" spans="1:8">
      <c r="A108" t="s">
        <v>4133</v>
      </c>
      <c r="B108" t="s">
        <v>287</v>
      </c>
      <c r="C108">
        <v>1</v>
      </c>
      <c r="E108">
        <v>133044</v>
      </c>
      <c r="G108">
        <v>20</v>
      </c>
      <c r="H108" t="s">
        <v>12</v>
      </c>
    </row>
    <row r="109" spans="1:8">
      <c r="A109" t="s">
        <v>4134</v>
      </c>
      <c r="B109" t="s">
        <v>303</v>
      </c>
      <c r="C109">
        <v>1</v>
      </c>
      <c r="E109">
        <v>134196</v>
      </c>
      <c r="G109">
        <v>20</v>
      </c>
      <c r="H109" t="s">
        <v>12</v>
      </c>
    </row>
    <row r="110" spans="1:8">
      <c r="A110" t="s">
        <v>4135</v>
      </c>
      <c r="B110" t="s">
        <v>4136</v>
      </c>
      <c r="C110">
        <v>1</v>
      </c>
      <c r="E110">
        <v>135097</v>
      </c>
      <c r="G110">
        <v>20</v>
      </c>
      <c r="H110" t="s">
        <v>12</v>
      </c>
    </row>
    <row r="111" spans="1:8">
      <c r="A111" t="s">
        <v>4137</v>
      </c>
      <c r="B111" t="s">
        <v>303</v>
      </c>
      <c r="C111">
        <v>1</v>
      </c>
      <c r="E111">
        <v>137027</v>
      </c>
      <c r="G111">
        <v>20</v>
      </c>
      <c r="H111" t="s">
        <v>12</v>
      </c>
    </row>
    <row r="112" spans="1:8">
      <c r="A112" t="s">
        <v>4138</v>
      </c>
      <c r="B112" t="s">
        <v>303</v>
      </c>
      <c r="C112">
        <v>1</v>
      </c>
      <c r="E112">
        <v>138524</v>
      </c>
      <c r="G112">
        <v>20</v>
      </c>
      <c r="H112" t="s">
        <v>12</v>
      </c>
    </row>
    <row r="113" spans="1:8">
      <c r="A113" t="s">
        <v>4139</v>
      </c>
      <c r="B113" t="s">
        <v>4136</v>
      </c>
      <c r="C113">
        <v>1</v>
      </c>
      <c r="E113">
        <v>138679</v>
      </c>
      <c r="G113">
        <v>20</v>
      </c>
      <c r="H113" t="s">
        <v>12</v>
      </c>
    </row>
    <row r="114" spans="1:8">
      <c r="A114" t="s">
        <v>4140</v>
      </c>
      <c r="B114" t="s">
        <v>303</v>
      </c>
      <c r="C114">
        <v>1</v>
      </c>
      <c r="E114">
        <v>139417</v>
      </c>
      <c r="G114">
        <v>20</v>
      </c>
      <c r="H114" t="s">
        <v>12</v>
      </c>
    </row>
    <row r="115" spans="1:8">
      <c r="A115" t="s">
        <v>4134</v>
      </c>
      <c r="B115" t="s">
        <v>282</v>
      </c>
      <c r="C115">
        <v>1</v>
      </c>
      <c r="E115">
        <v>139652</v>
      </c>
      <c r="G115">
        <v>20</v>
      </c>
      <c r="H115" t="s">
        <v>12</v>
      </c>
    </row>
    <row r="116" spans="1:8">
      <c r="A116" t="s">
        <v>4141</v>
      </c>
      <c r="B116" t="s">
        <v>303</v>
      </c>
      <c r="C116">
        <v>1</v>
      </c>
      <c r="E116">
        <v>139987</v>
      </c>
      <c r="G116">
        <v>20</v>
      </c>
      <c r="H116" t="s">
        <v>12</v>
      </c>
    </row>
    <row r="117" spans="1:8">
      <c r="A117" t="s">
        <v>4142</v>
      </c>
      <c r="B117" t="s">
        <v>303</v>
      </c>
      <c r="C117">
        <v>1</v>
      </c>
      <c r="E117">
        <v>140410</v>
      </c>
      <c r="G117">
        <v>20</v>
      </c>
      <c r="H117" t="s">
        <v>12</v>
      </c>
    </row>
    <row r="118" spans="1:8">
      <c r="A118" t="s">
        <v>4143</v>
      </c>
      <c r="B118" t="s">
        <v>4144</v>
      </c>
      <c r="C118">
        <v>1</v>
      </c>
      <c r="E118">
        <v>140655</v>
      </c>
      <c r="G118">
        <v>20</v>
      </c>
      <c r="H118" t="s">
        <v>12</v>
      </c>
    </row>
    <row r="119" spans="1:8">
      <c r="A119" t="s">
        <v>4135</v>
      </c>
      <c r="B119" t="s">
        <v>303</v>
      </c>
      <c r="C119">
        <v>1</v>
      </c>
      <c r="E119">
        <v>140655</v>
      </c>
      <c r="G119">
        <v>20</v>
      </c>
      <c r="H119" t="s">
        <v>12</v>
      </c>
    </row>
    <row r="120" spans="1:8">
      <c r="A120" t="s">
        <v>4137</v>
      </c>
      <c r="B120" t="s">
        <v>282</v>
      </c>
      <c r="C120">
        <v>1</v>
      </c>
      <c r="E120">
        <v>142613</v>
      </c>
      <c r="G120">
        <v>20</v>
      </c>
      <c r="H120" t="s">
        <v>12</v>
      </c>
    </row>
    <row r="121" spans="1:8">
      <c r="A121" t="s">
        <v>4145</v>
      </c>
      <c r="B121" t="s">
        <v>4144</v>
      </c>
      <c r="C121">
        <v>1</v>
      </c>
      <c r="E121">
        <v>143203</v>
      </c>
      <c r="G121">
        <v>20</v>
      </c>
      <c r="H121" t="s">
        <v>12</v>
      </c>
    </row>
    <row r="122" spans="1:8">
      <c r="A122" t="s">
        <v>4138</v>
      </c>
      <c r="B122" t="s">
        <v>282</v>
      </c>
      <c r="C122">
        <v>1</v>
      </c>
      <c r="E122">
        <v>144134</v>
      </c>
      <c r="G122">
        <v>20</v>
      </c>
      <c r="H122" t="s">
        <v>12</v>
      </c>
    </row>
    <row r="123" spans="1:8">
      <c r="A123" t="s">
        <v>4146</v>
      </c>
      <c r="B123" t="s">
        <v>4144</v>
      </c>
      <c r="C123">
        <v>1</v>
      </c>
      <c r="E123">
        <v>144531</v>
      </c>
      <c r="G123">
        <v>20</v>
      </c>
      <c r="H123" t="s">
        <v>12</v>
      </c>
    </row>
    <row r="124" spans="1:8">
      <c r="A124" t="s">
        <v>4140</v>
      </c>
      <c r="B124" t="s">
        <v>282</v>
      </c>
      <c r="C124">
        <v>1</v>
      </c>
      <c r="E124">
        <v>145034</v>
      </c>
      <c r="G124">
        <v>20</v>
      </c>
      <c r="H124" t="s">
        <v>12</v>
      </c>
    </row>
    <row r="125" spans="1:8">
      <c r="A125" t="s">
        <v>4147</v>
      </c>
      <c r="B125" t="s">
        <v>4144</v>
      </c>
      <c r="C125">
        <v>1</v>
      </c>
      <c r="E125">
        <v>145314</v>
      </c>
      <c r="G125">
        <v>20</v>
      </c>
      <c r="H125" t="s">
        <v>12</v>
      </c>
    </row>
    <row r="126" spans="1:8">
      <c r="A126" t="s">
        <v>4141</v>
      </c>
      <c r="B126" t="s">
        <v>282</v>
      </c>
      <c r="C126">
        <v>1</v>
      </c>
      <c r="E126">
        <v>145603</v>
      </c>
      <c r="G126">
        <v>20</v>
      </c>
      <c r="H126" t="s">
        <v>12</v>
      </c>
    </row>
    <row r="127" spans="1:8">
      <c r="A127" t="s">
        <v>4142</v>
      </c>
      <c r="B127" t="s">
        <v>282</v>
      </c>
      <c r="C127">
        <v>1</v>
      </c>
      <c r="E127">
        <v>145993</v>
      </c>
      <c r="G127">
        <v>20</v>
      </c>
      <c r="H127" t="s">
        <v>12</v>
      </c>
    </row>
    <row r="128" spans="1:8">
      <c r="A128" t="s">
        <v>4148</v>
      </c>
      <c r="B128" t="s">
        <v>282</v>
      </c>
      <c r="C128">
        <v>1</v>
      </c>
      <c r="E128">
        <v>146281</v>
      </c>
      <c r="G128">
        <v>20</v>
      </c>
      <c r="H128" t="s">
        <v>12</v>
      </c>
    </row>
    <row r="129" spans="1:8">
      <c r="A129" t="s">
        <v>4149</v>
      </c>
      <c r="B129" t="s">
        <v>282</v>
      </c>
      <c r="C129">
        <v>1</v>
      </c>
      <c r="E129">
        <v>146446</v>
      </c>
      <c r="G129">
        <v>20</v>
      </c>
      <c r="H129" t="s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56B0-DF66-406C-B2E4-7D2239549AFB}">
  <dimension ref="A1:J344"/>
  <sheetViews>
    <sheetView workbookViewId="0">
      <selection sqref="A1:J1048576"/>
    </sheetView>
  </sheetViews>
  <sheetFormatPr defaultRowHeight="15"/>
  <cols>
    <col min="1" max="1" width="22.42578125" bestFit="1" customWidth="1"/>
    <col min="2" max="2" width="5.5703125" bestFit="1" customWidth="1"/>
    <col min="3" max="3" width="7.28515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8" bestFit="1" customWidth="1"/>
    <col min="9" max="9" width="33.42578125" bestFit="1" customWidth="1"/>
    <col min="10" max="10" width="12.2851562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4150</v>
      </c>
      <c r="B2" t="s">
        <v>209</v>
      </c>
      <c r="C2" s="2" t="s">
        <v>250</v>
      </c>
      <c r="E2">
        <v>0</v>
      </c>
      <c r="H2">
        <v>0.79754999999999998</v>
      </c>
      <c r="I2" t="s">
        <v>4151</v>
      </c>
      <c r="J2" t="s">
        <v>4152</v>
      </c>
    </row>
    <row r="3" spans="1:10">
      <c r="A3" t="s">
        <v>4150</v>
      </c>
      <c r="B3" t="s">
        <v>209</v>
      </c>
      <c r="C3" s="2" t="s">
        <v>249</v>
      </c>
      <c r="E3">
        <v>1053.164</v>
      </c>
      <c r="H3">
        <v>1.1990700000000001</v>
      </c>
      <c r="I3" t="s">
        <v>4153</v>
      </c>
    </row>
    <row r="4" spans="1:10">
      <c r="A4" t="s">
        <v>4154</v>
      </c>
      <c r="B4" t="s">
        <v>576</v>
      </c>
      <c r="C4" s="2" t="s">
        <v>250</v>
      </c>
      <c r="E4">
        <v>2668.1880000000001</v>
      </c>
      <c r="H4">
        <v>0.40445999999999999</v>
      </c>
      <c r="I4" t="s">
        <v>4155</v>
      </c>
    </row>
    <row r="5" spans="1:10">
      <c r="A5" t="s">
        <v>4154</v>
      </c>
      <c r="B5" t="s">
        <v>576</v>
      </c>
      <c r="C5" s="2" t="s">
        <v>249</v>
      </c>
      <c r="E5">
        <v>3010.002</v>
      </c>
      <c r="H5">
        <v>1.0294000000000001</v>
      </c>
      <c r="I5" t="s">
        <v>4155</v>
      </c>
    </row>
    <row r="6" spans="1:10">
      <c r="A6" t="s">
        <v>4154</v>
      </c>
      <c r="B6" t="s">
        <v>576</v>
      </c>
      <c r="C6" s="2" t="s">
        <v>251</v>
      </c>
      <c r="E6">
        <v>3494.5259999999998</v>
      </c>
      <c r="H6">
        <v>1.23742</v>
      </c>
      <c r="I6" t="s">
        <v>4156</v>
      </c>
    </row>
    <row r="7" spans="1:10">
      <c r="A7" t="s">
        <v>4154</v>
      </c>
      <c r="B7" t="s">
        <v>576</v>
      </c>
      <c r="C7" s="2" t="s">
        <v>252</v>
      </c>
      <c r="E7">
        <v>4121.5720000000001</v>
      </c>
      <c r="H7">
        <v>1.3327800000000001</v>
      </c>
      <c r="I7">
        <v>100</v>
      </c>
    </row>
    <row r="8" spans="1:10">
      <c r="A8" t="s">
        <v>4154</v>
      </c>
      <c r="B8" t="s">
        <v>577</v>
      </c>
      <c r="C8" s="2" t="s">
        <v>249</v>
      </c>
      <c r="E8">
        <v>7011.9089999999997</v>
      </c>
      <c r="H8">
        <v>0.89829999999999999</v>
      </c>
      <c r="I8" t="s">
        <v>4157</v>
      </c>
    </row>
    <row r="9" spans="1:10">
      <c r="A9" t="s">
        <v>4154</v>
      </c>
      <c r="B9" t="s">
        <v>577</v>
      </c>
      <c r="C9" s="2" t="s">
        <v>251</v>
      </c>
      <c r="E9">
        <v>8052.1620000000003</v>
      </c>
      <c r="H9">
        <v>1.13469</v>
      </c>
      <c r="I9" t="s">
        <v>4158</v>
      </c>
    </row>
    <row r="10" spans="1:10">
      <c r="A10" t="s">
        <v>4159</v>
      </c>
      <c r="B10" t="s">
        <v>586</v>
      </c>
      <c r="C10" s="2" t="s">
        <v>248</v>
      </c>
      <c r="E10">
        <v>7231.4070000000002</v>
      </c>
      <c r="H10">
        <v>2.65252</v>
      </c>
      <c r="I10" t="s">
        <v>4160</v>
      </c>
    </row>
    <row r="11" spans="1:10">
      <c r="A11" t="s">
        <v>4159</v>
      </c>
      <c r="B11" t="s">
        <v>586</v>
      </c>
      <c r="C11" s="2" t="s">
        <v>250</v>
      </c>
      <c r="E11">
        <v>7490.5209999999997</v>
      </c>
      <c r="H11">
        <v>1.70427</v>
      </c>
      <c r="I11" t="s">
        <v>4161</v>
      </c>
    </row>
    <row r="12" spans="1:10">
      <c r="A12" t="s">
        <v>4159</v>
      </c>
      <c r="B12" t="s">
        <v>586</v>
      </c>
      <c r="C12" s="2" t="s">
        <v>249</v>
      </c>
      <c r="E12">
        <v>7679.9390000000003</v>
      </c>
      <c r="H12">
        <v>1.5055799999999999</v>
      </c>
      <c r="I12" t="s">
        <v>4162</v>
      </c>
    </row>
    <row r="13" spans="1:10">
      <c r="A13" t="s">
        <v>4163</v>
      </c>
      <c r="B13" t="s">
        <v>209</v>
      </c>
      <c r="C13" s="2" t="s">
        <v>250</v>
      </c>
      <c r="E13">
        <v>8446.0439999999999</v>
      </c>
      <c r="H13">
        <v>0.93603000000000003</v>
      </c>
      <c r="I13" t="s">
        <v>4164</v>
      </c>
    </row>
    <row r="14" spans="1:10">
      <c r="A14" t="s">
        <v>4163</v>
      </c>
      <c r="B14" t="s">
        <v>209</v>
      </c>
      <c r="C14" s="2" t="s">
        <v>249</v>
      </c>
      <c r="E14">
        <v>9183.7970000000005</v>
      </c>
      <c r="H14">
        <v>1.2544900000000001</v>
      </c>
      <c r="I14" t="s">
        <v>4165</v>
      </c>
    </row>
    <row r="15" spans="1:10">
      <c r="A15" t="s">
        <v>4159</v>
      </c>
      <c r="B15" t="s">
        <v>595</v>
      </c>
      <c r="C15" s="2" t="s">
        <v>248</v>
      </c>
      <c r="E15">
        <v>9044.2139999999999</v>
      </c>
      <c r="H15">
        <v>0.69</v>
      </c>
      <c r="I15" t="s">
        <v>4166</v>
      </c>
    </row>
    <row r="16" spans="1:10">
      <c r="A16" t="s">
        <v>4159</v>
      </c>
      <c r="B16" t="s">
        <v>595</v>
      </c>
      <c r="C16" s="2" t="s">
        <v>250</v>
      </c>
      <c r="E16">
        <v>9719.4390000000003</v>
      </c>
      <c r="H16">
        <v>1.22</v>
      </c>
      <c r="I16" t="s">
        <v>4167</v>
      </c>
    </row>
    <row r="17" spans="1:9">
      <c r="A17" t="s">
        <v>4168</v>
      </c>
      <c r="B17" t="s">
        <v>594</v>
      </c>
      <c r="C17" s="2" t="s">
        <v>252</v>
      </c>
      <c r="E17">
        <v>9919.8209999999999</v>
      </c>
      <c r="H17">
        <v>1.107</v>
      </c>
      <c r="I17" t="s">
        <v>4169</v>
      </c>
    </row>
    <row r="18" spans="1:9">
      <c r="A18" t="s">
        <v>4168</v>
      </c>
      <c r="B18" t="s">
        <v>594</v>
      </c>
      <c r="C18" s="2" t="s">
        <v>251</v>
      </c>
      <c r="E18">
        <v>9960.9040000000005</v>
      </c>
      <c r="H18">
        <v>0.89200000000000002</v>
      </c>
      <c r="I18" t="s">
        <v>4170</v>
      </c>
    </row>
    <row r="19" spans="1:9">
      <c r="A19" t="s">
        <v>4171</v>
      </c>
      <c r="B19" t="s">
        <v>576</v>
      </c>
      <c r="C19" s="2" t="s">
        <v>250</v>
      </c>
      <c r="E19">
        <v>12430.609</v>
      </c>
      <c r="H19">
        <v>0.41099999999999998</v>
      </c>
      <c r="I19" t="s">
        <v>4172</v>
      </c>
    </row>
    <row r="20" spans="1:9">
      <c r="A20" t="s">
        <v>4171</v>
      </c>
      <c r="B20" t="s">
        <v>576</v>
      </c>
      <c r="C20" s="2" t="s">
        <v>249</v>
      </c>
      <c r="E20">
        <v>12787.404</v>
      </c>
      <c r="H20">
        <v>1.026</v>
      </c>
      <c r="I20">
        <v>99</v>
      </c>
    </row>
    <row r="21" spans="1:9">
      <c r="A21" t="s">
        <v>4171</v>
      </c>
      <c r="B21" t="s">
        <v>576</v>
      </c>
      <c r="C21" s="2" t="s">
        <v>251</v>
      </c>
      <c r="E21">
        <v>13238.323</v>
      </c>
      <c r="H21">
        <v>1.228</v>
      </c>
      <c r="I21">
        <v>99</v>
      </c>
    </row>
    <row r="22" spans="1:9">
      <c r="A22" t="s">
        <v>4171</v>
      </c>
      <c r="B22" t="s">
        <v>576</v>
      </c>
      <c r="C22" s="2" t="s">
        <v>252</v>
      </c>
      <c r="E22">
        <v>13747.276</v>
      </c>
      <c r="I22" t="s">
        <v>4173</v>
      </c>
    </row>
    <row r="23" spans="1:9">
      <c r="A23" t="s">
        <v>4174</v>
      </c>
      <c r="B23" t="s">
        <v>214</v>
      </c>
      <c r="C23" s="2" t="s">
        <v>250</v>
      </c>
      <c r="E23">
        <v>13260.38</v>
      </c>
      <c r="H23">
        <v>0.52</v>
      </c>
      <c r="I23">
        <v>71</v>
      </c>
    </row>
    <row r="24" spans="1:9">
      <c r="A24" t="s">
        <v>4174</v>
      </c>
      <c r="B24" t="s">
        <v>214</v>
      </c>
      <c r="C24" s="2" t="s">
        <v>249</v>
      </c>
      <c r="E24">
        <v>14804.08</v>
      </c>
      <c r="H24">
        <v>1.0900000000000001</v>
      </c>
      <c r="I24" t="s">
        <v>4175</v>
      </c>
    </row>
    <row r="25" spans="1:9">
      <c r="A25" t="s">
        <v>4174</v>
      </c>
      <c r="B25" t="s">
        <v>214</v>
      </c>
      <c r="C25" s="2" t="s">
        <v>251</v>
      </c>
      <c r="E25">
        <v>15019.51</v>
      </c>
      <c r="H25">
        <v>1.2370000000000001</v>
      </c>
      <c r="I25">
        <v>89</v>
      </c>
    </row>
    <row r="26" spans="1:9">
      <c r="A26" t="s">
        <v>4174</v>
      </c>
      <c r="B26" t="s">
        <v>214</v>
      </c>
      <c r="C26" s="2" t="s">
        <v>252</v>
      </c>
      <c r="E26">
        <v>16243.17</v>
      </c>
      <c r="I26">
        <v>97</v>
      </c>
    </row>
    <row r="27" spans="1:9">
      <c r="A27" t="s">
        <v>4174</v>
      </c>
      <c r="B27" t="s">
        <v>291</v>
      </c>
      <c r="C27" s="2" t="s">
        <v>249</v>
      </c>
      <c r="E27">
        <v>13631.04</v>
      </c>
      <c r="H27">
        <v>1.0960000000000001</v>
      </c>
      <c r="I27" t="s">
        <v>4176</v>
      </c>
    </row>
    <row r="28" spans="1:9">
      <c r="A28" t="s">
        <v>4174</v>
      </c>
      <c r="B28" t="s">
        <v>216</v>
      </c>
      <c r="C28" s="2" t="s">
        <v>248</v>
      </c>
      <c r="E28">
        <v>14095.69</v>
      </c>
      <c r="H28">
        <v>0.35699999999999998</v>
      </c>
      <c r="I28" t="s">
        <v>4177</v>
      </c>
    </row>
    <row r="29" spans="1:9">
      <c r="A29" t="s">
        <v>4174</v>
      </c>
      <c r="B29" t="s">
        <v>216</v>
      </c>
      <c r="C29" s="2" t="s">
        <v>250</v>
      </c>
      <c r="E29">
        <v>14708.92</v>
      </c>
      <c r="H29">
        <v>1.01</v>
      </c>
      <c r="I29">
        <v>57</v>
      </c>
    </row>
    <row r="30" spans="1:9">
      <c r="A30" t="s">
        <v>4174</v>
      </c>
      <c r="B30" t="s">
        <v>216</v>
      </c>
      <c r="C30" s="2" t="s">
        <v>249</v>
      </c>
      <c r="E30">
        <v>15503.64</v>
      </c>
      <c r="H30">
        <v>1.36</v>
      </c>
      <c r="I30">
        <v>86</v>
      </c>
    </row>
    <row r="31" spans="1:9">
      <c r="A31" t="s">
        <v>4174</v>
      </c>
      <c r="B31" t="s">
        <v>216</v>
      </c>
      <c r="C31" s="2" t="s">
        <v>251</v>
      </c>
      <c r="E31">
        <v>16099.29</v>
      </c>
      <c r="H31">
        <v>1.37</v>
      </c>
      <c r="I31">
        <v>81</v>
      </c>
    </row>
    <row r="32" spans="1:9">
      <c r="A32" t="s">
        <v>4174</v>
      </c>
      <c r="B32" t="s">
        <v>291</v>
      </c>
      <c r="C32" s="2" t="s">
        <v>250</v>
      </c>
      <c r="E32">
        <v>15031.64</v>
      </c>
      <c r="H32">
        <v>0.92</v>
      </c>
      <c r="I32" t="s">
        <v>4178</v>
      </c>
    </row>
    <row r="33" spans="1:9">
      <c r="A33" t="s">
        <v>4179</v>
      </c>
      <c r="B33" t="s">
        <v>219</v>
      </c>
      <c r="C33" s="2" t="s">
        <v>249</v>
      </c>
      <c r="E33">
        <v>15196.83</v>
      </c>
      <c r="H33">
        <v>0.90600000000000003</v>
      </c>
      <c r="I33" t="s">
        <v>4180</v>
      </c>
    </row>
    <row r="34" spans="1:9">
      <c r="A34" t="s">
        <v>4179</v>
      </c>
      <c r="B34" t="s">
        <v>219</v>
      </c>
      <c r="C34" s="2" t="s">
        <v>251</v>
      </c>
      <c r="E34">
        <v>16538.39</v>
      </c>
      <c r="H34">
        <v>1.179</v>
      </c>
      <c r="I34" t="s">
        <v>4181</v>
      </c>
    </row>
    <row r="35" spans="1:9">
      <c r="A35" t="s">
        <v>4174</v>
      </c>
      <c r="B35" t="s">
        <v>291</v>
      </c>
      <c r="C35" s="2" t="s">
        <v>248</v>
      </c>
      <c r="E35">
        <v>15219.89</v>
      </c>
      <c r="H35">
        <v>0.313</v>
      </c>
      <c r="I35" t="s">
        <v>4182</v>
      </c>
    </row>
    <row r="36" spans="1:9">
      <c r="A36" t="s">
        <v>4183</v>
      </c>
      <c r="B36" t="s">
        <v>291</v>
      </c>
      <c r="C36" s="2" t="s">
        <v>250</v>
      </c>
      <c r="E36">
        <v>16280.26</v>
      </c>
      <c r="H36">
        <v>1.3260000000000001</v>
      </c>
      <c r="I36" t="s">
        <v>4184</v>
      </c>
    </row>
    <row r="37" spans="1:9">
      <c r="A37" t="s">
        <v>4171</v>
      </c>
      <c r="B37" t="s">
        <v>586</v>
      </c>
      <c r="C37" s="2" t="s">
        <v>248</v>
      </c>
      <c r="E37">
        <v>16617.3</v>
      </c>
      <c r="I37" t="s">
        <v>4185</v>
      </c>
    </row>
    <row r="38" spans="1:9">
      <c r="A38" t="s">
        <v>4171</v>
      </c>
      <c r="B38" t="s">
        <v>586</v>
      </c>
      <c r="C38" s="2" t="s">
        <v>250</v>
      </c>
      <c r="E38">
        <v>16735.14</v>
      </c>
      <c r="H38">
        <v>1.698</v>
      </c>
      <c r="I38" t="s">
        <v>4186</v>
      </c>
    </row>
    <row r="39" spans="1:9">
      <c r="A39" t="s">
        <v>4171</v>
      </c>
      <c r="B39" t="s">
        <v>586</v>
      </c>
      <c r="C39" s="2" t="s">
        <v>249</v>
      </c>
      <c r="E39">
        <v>17099.38</v>
      </c>
      <c r="I39" t="s">
        <v>4187</v>
      </c>
    </row>
    <row r="40" spans="1:9">
      <c r="A40" t="s">
        <v>4188</v>
      </c>
      <c r="B40" t="s">
        <v>291</v>
      </c>
      <c r="C40" s="2" t="s">
        <v>249</v>
      </c>
      <c r="E40">
        <v>16856.8</v>
      </c>
      <c r="H40">
        <v>0.81</v>
      </c>
      <c r="I40" t="s">
        <v>4189</v>
      </c>
    </row>
    <row r="41" spans="1:9">
      <c r="A41" t="s">
        <v>4190</v>
      </c>
      <c r="B41" t="s">
        <v>206</v>
      </c>
      <c r="C41" s="2" t="s">
        <v>248</v>
      </c>
      <c r="E41">
        <v>16991.419999999998</v>
      </c>
      <c r="I41" t="s">
        <v>4191</v>
      </c>
    </row>
    <row r="42" spans="1:9">
      <c r="A42" t="s">
        <v>4171</v>
      </c>
      <c r="B42" t="s">
        <v>594</v>
      </c>
      <c r="C42" s="2" t="s">
        <v>251</v>
      </c>
      <c r="E42">
        <v>17023.36</v>
      </c>
      <c r="H42">
        <v>0.88</v>
      </c>
      <c r="I42" t="s">
        <v>4192</v>
      </c>
    </row>
    <row r="43" spans="1:9">
      <c r="A43" t="s">
        <v>4171</v>
      </c>
      <c r="B43" t="s">
        <v>594</v>
      </c>
      <c r="C43" s="2" t="s">
        <v>252</v>
      </c>
      <c r="E43">
        <v>17140.900000000001</v>
      </c>
      <c r="I43" t="s">
        <v>4193</v>
      </c>
    </row>
    <row r="44" spans="1:9">
      <c r="A44" t="s">
        <v>4174</v>
      </c>
      <c r="B44" t="s">
        <v>213</v>
      </c>
      <c r="C44" s="2" t="s">
        <v>248</v>
      </c>
      <c r="E44">
        <v>17567.490000000002</v>
      </c>
      <c r="H44">
        <v>2.63</v>
      </c>
      <c r="I44">
        <v>93</v>
      </c>
    </row>
    <row r="45" spans="1:9">
      <c r="A45" t="s">
        <v>4174</v>
      </c>
      <c r="B45" t="s">
        <v>213</v>
      </c>
      <c r="C45" s="2" t="s">
        <v>250</v>
      </c>
      <c r="E45">
        <v>17797.29</v>
      </c>
      <c r="H45">
        <v>1.69</v>
      </c>
      <c r="I45">
        <v>82</v>
      </c>
    </row>
    <row r="46" spans="1:9">
      <c r="A46" t="s">
        <v>4174</v>
      </c>
      <c r="B46" t="s">
        <v>213</v>
      </c>
      <c r="C46" s="2" t="s">
        <v>249</v>
      </c>
      <c r="E46">
        <v>18156.97</v>
      </c>
      <c r="H46">
        <v>1.175</v>
      </c>
      <c r="I46" t="s">
        <v>4194</v>
      </c>
    </row>
    <row r="47" spans="1:9">
      <c r="A47" t="s">
        <v>4188</v>
      </c>
      <c r="B47" t="s">
        <v>291</v>
      </c>
      <c r="C47" s="2" t="s">
        <v>251</v>
      </c>
      <c r="E47">
        <v>17910.169999999998</v>
      </c>
      <c r="H47">
        <v>1.0860000000000001</v>
      </c>
      <c r="I47" t="s">
        <v>4195</v>
      </c>
    </row>
    <row r="48" spans="1:9">
      <c r="A48" t="s">
        <v>4188</v>
      </c>
      <c r="B48" t="s">
        <v>606</v>
      </c>
      <c r="C48" s="2" t="s">
        <v>249</v>
      </c>
      <c r="E48">
        <v>17947.13</v>
      </c>
      <c r="H48">
        <v>1.0609999999999999</v>
      </c>
      <c r="I48" t="s">
        <v>4196</v>
      </c>
    </row>
    <row r="49" spans="1:9">
      <c r="A49" t="s">
        <v>4188</v>
      </c>
      <c r="B49" t="s">
        <v>606</v>
      </c>
      <c r="C49" s="2" t="s">
        <v>251</v>
      </c>
      <c r="E49">
        <v>18603.919999999998</v>
      </c>
      <c r="H49">
        <v>1.0509999999999999</v>
      </c>
      <c r="I49" t="s">
        <v>4197</v>
      </c>
    </row>
    <row r="50" spans="1:9">
      <c r="A50" t="s">
        <v>4188</v>
      </c>
      <c r="B50" t="s">
        <v>606</v>
      </c>
      <c r="C50" s="2" t="s">
        <v>252</v>
      </c>
      <c r="E50">
        <v>19129.310000000001</v>
      </c>
      <c r="H50">
        <v>1.173</v>
      </c>
      <c r="I50">
        <v>96</v>
      </c>
    </row>
    <row r="51" spans="1:9">
      <c r="A51" t="s">
        <v>4188</v>
      </c>
      <c r="B51" t="s">
        <v>606</v>
      </c>
      <c r="C51" s="2" t="s">
        <v>1702</v>
      </c>
      <c r="E51">
        <v>20117.38</v>
      </c>
      <c r="H51">
        <v>1.29</v>
      </c>
      <c r="I51">
        <v>96</v>
      </c>
    </row>
    <row r="52" spans="1:9">
      <c r="A52" t="s">
        <v>4171</v>
      </c>
      <c r="B52" t="s">
        <v>622</v>
      </c>
      <c r="C52" s="2" t="s">
        <v>250</v>
      </c>
      <c r="E52">
        <v>18037.64</v>
      </c>
      <c r="I52" t="s">
        <v>4198</v>
      </c>
    </row>
    <row r="53" spans="1:9">
      <c r="A53" t="s">
        <v>4171</v>
      </c>
      <c r="B53" t="s">
        <v>622</v>
      </c>
      <c r="C53" s="2" t="s">
        <v>249</v>
      </c>
      <c r="E53">
        <v>18776.62</v>
      </c>
      <c r="I53" t="s">
        <v>4199</v>
      </c>
    </row>
    <row r="54" spans="1:9">
      <c r="A54" t="s">
        <v>4188</v>
      </c>
      <c r="B54" t="s">
        <v>218</v>
      </c>
      <c r="C54" s="2" t="s">
        <v>250</v>
      </c>
      <c r="E54">
        <v>18172.349999999999</v>
      </c>
      <c r="H54">
        <v>0.79900000000000004</v>
      </c>
      <c r="I54" t="s">
        <v>4200</v>
      </c>
    </row>
    <row r="55" spans="1:9">
      <c r="A55" t="s">
        <v>4188</v>
      </c>
      <c r="B55" t="s">
        <v>218</v>
      </c>
      <c r="C55" s="2" t="s">
        <v>249</v>
      </c>
      <c r="E55">
        <v>19379.400000000001</v>
      </c>
      <c r="H55">
        <v>1.1859999999999999</v>
      </c>
      <c r="I55" t="s">
        <v>4201</v>
      </c>
    </row>
    <row r="56" spans="1:9">
      <c r="A56" t="s">
        <v>4171</v>
      </c>
      <c r="B56" t="s">
        <v>645</v>
      </c>
      <c r="C56" s="2" t="s">
        <v>1702</v>
      </c>
      <c r="E56">
        <v>18310.919999999998</v>
      </c>
      <c r="I56">
        <v>100</v>
      </c>
    </row>
    <row r="57" spans="1:9">
      <c r="A57" t="s">
        <v>4171</v>
      </c>
      <c r="B57" t="s">
        <v>645</v>
      </c>
      <c r="C57" s="2" t="s">
        <v>252</v>
      </c>
      <c r="E57">
        <v>18315.88</v>
      </c>
      <c r="H57">
        <v>0.97</v>
      </c>
      <c r="I57" t="s">
        <v>4202</v>
      </c>
    </row>
    <row r="58" spans="1:9">
      <c r="A58" t="s">
        <v>4203</v>
      </c>
      <c r="B58" t="s">
        <v>291</v>
      </c>
      <c r="C58" s="2" t="s">
        <v>250</v>
      </c>
      <c r="E58">
        <v>20018.990000000002</v>
      </c>
      <c r="H58">
        <v>1.01</v>
      </c>
      <c r="I58" t="s">
        <v>4204</v>
      </c>
    </row>
    <row r="59" spans="1:9">
      <c r="A59" t="s">
        <v>4188</v>
      </c>
      <c r="B59" t="s">
        <v>214</v>
      </c>
      <c r="C59" s="2" t="s">
        <v>250</v>
      </c>
      <c r="E59">
        <v>20082.98</v>
      </c>
      <c r="H59">
        <v>0.72399999999999998</v>
      </c>
      <c r="I59" t="s">
        <v>4205</v>
      </c>
    </row>
    <row r="60" spans="1:9">
      <c r="A60" t="s">
        <v>4188</v>
      </c>
      <c r="B60" t="s">
        <v>214</v>
      </c>
      <c r="C60" s="2" t="s">
        <v>249</v>
      </c>
      <c r="E60">
        <v>20338.25</v>
      </c>
      <c r="H60">
        <v>1.006</v>
      </c>
      <c r="I60">
        <v>73</v>
      </c>
    </row>
    <row r="61" spans="1:9">
      <c r="A61" t="s">
        <v>4188</v>
      </c>
      <c r="B61" t="s">
        <v>214</v>
      </c>
      <c r="C61" s="2" t="s">
        <v>251</v>
      </c>
      <c r="E61">
        <v>20763.21</v>
      </c>
      <c r="H61">
        <v>1.1779999999999999</v>
      </c>
      <c r="I61">
        <v>63</v>
      </c>
    </row>
    <row r="62" spans="1:9">
      <c r="A62" t="s">
        <v>4188</v>
      </c>
      <c r="B62" t="s">
        <v>214</v>
      </c>
      <c r="C62" s="2" t="s">
        <v>252</v>
      </c>
      <c r="E62">
        <v>21384</v>
      </c>
      <c r="H62">
        <v>1.278</v>
      </c>
      <c r="I62">
        <v>67</v>
      </c>
    </row>
    <row r="63" spans="1:9">
      <c r="A63" t="s">
        <v>4203</v>
      </c>
      <c r="B63" t="s">
        <v>291</v>
      </c>
      <c r="C63" s="2" t="s">
        <v>248</v>
      </c>
      <c r="E63">
        <v>20197.34</v>
      </c>
      <c r="H63">
        <v>0.63</v>
      </c>
      <c r="I63" t="s">
        <v>4206</v>
      </c>
    </row>
    <row r="64" spans="1:9">
      <c r="A64" t="s">
        <v>4171</v>
      </c>
      <c r="B64" t="s">
        <v>595</v>
      </c>
      <c r="C64" s="2" t="s">
        <v>248</v>
      </c>
      <c r="E64">
        <v>20392.599999999999</v>
      </c>
      <c r="H64">
        <v>0.70899999999999996</v>
      </c>
      <c r="I64" t="s">
        <v>4207</v>
      </c>
    </row>
    <row r="65" spans="1:9">
      <c r="A65" t="s">
        <v>4171</v>
      </c>
      <c r="B65" t="s">
        <v>595</v>
      </c>
      <c r="C65" s="2" t="s">
        <v>250</v>
      </c>
      <c r="E65">
        <v>21037.3</v>
      </c>
      <c r="H65">
        <v>1.3160000000000001</v>
      </c>
      <c r="I65" t="s">
        <v>4208</v>
      </c>
    </row>
    <row r="66" spans="1:9">
      <c r="A66" t="s">
        <v>4188</v>
      </c>
      <c r="B66" t="s">
        <v>291</v>
      </c>
      <c r="C66" s="2" t="s">
        <v>249</v>
      </c>
      <c r="E66">
        <v>20972.17</v>
      </c>
      <c r="H66">
        <v>0.89</v>
      </c>
      <c r="I66" t="s">
        <v>4209</v>
      </c>
    </row>
    <row r="67" spans="1:9">
      <c r="A67" t="s">
        <v>4188</v>
      </c>
      <c r="B67" t="s">
        <v>291</v>
      </c>
      <c r="C67" s="2" t="s">
        <v>251</v>
      </c>
      <c r="E67">
        <v>21447.86</v>
      </c>
      <c r="H67">
        <v>1.103</v>
      </c>
      <c r="I67" t="s">
        <v>4210</v>
      </c>
    </row>
    <row r="68" spans="1:9">
      <c r="A68" t="s">
        <v>4188</v>
      </c>
      <c r="B68" t="s">
        <v>609</v>
      </c>
      <c r="C68" s="2" t="s">
        <v>251</v>
      </c>
      <c r="E68">
        <v>21662.51</v>
      </c>
      <c r="H68">
        <v>0.995</v>
      </c>
      <c r="I68" t="s">
        <v>4211</v>
      </c>
    </row>
    <row r="69" spans="1:9">
      <c r="A69" t="s">
        <v>4188</v>
      </c>
      <c r="B69" t="s">
        <v>609</v>
      </c>
      <c r="C69" s="2" t="s">
        <v>252</v>
      </c>
      <c r="E69">
        <v>22285.77</v>
      </c>
      <c r="H69">
        <v>1.1299999999999999</v>
      </c>
      <c r="I69" t="s">
        <v>4212</v>
      </c>
    </row>
    <row r="70" spans="1:9">
      <c r="A70" t="s">
        <v>4171</v>
      </c>
      <c r="B70" t="s">
        <v>577</v>
      </c>
      <c r="C70" s="2" t="s">
        <v>251</v>
      </c>
      <c r="E70">
        <v>21943.8</v>
      </c>
      <c r="I70" t="s">
        <v>4213</v>
      </c>
    </row>
    <row r="71" spans="1:9">
      <c r="A71" t="s">
        <v>4171</v>
      </c>
      <c r="B71" t="s">
        <v>577</v>
      </c>
      <c r="C71" s="2" t="s">
        <v>249</v>
      </c>
      <c r="E71">
        <v>21969.32</v>
      </c>
      <c r="I71" t="s">
        <v>4214</v>
      </c>
    </row>
    <row r="72" spans="1:9">
      <c r="A72" t="s">
        <v>4188</v>
      </c>
      <c r="B72" t="s">
        <v>216</v>
      </c>
      <c r="C72" s="2" t="s">
        <v>248</v>
      </c>
      <c r="E72">
        <v>22246.639999999999</v>
      </c>
      <c r="H72">
        <v>0.04</v>
      </c>
      <c r="I72">
        <v>89</v>
      </c>
    </row>
    <row r="73" spans="1:9">
      <c r="A73" t="s">
        <v>4188</v>
      </c>
      <c r="B73" t="s">
        <v>216</v>
      </c>
      <c r="C73" s="2" t="s">
        <v>250</v>
      </c>
      <c r="E73">
        <v>22439.360000000001</v>
      </c>
      <c r="H73">
        <v>1.1919999999999999</v>
      </c>
      <c r="I73">
        <v>92</v>
      </c>
    </row>
    <row r="74" spans="1:9">
      <c r="A74" t="s">
        <v>4188</v>
      </c>
      <c r="B74" t="s">
        <v>216</v>
      </c>
      <c r="C74" s="2" t="s">
        <v>249</v>
      </c>
      <c r="E74">
        <v>22804.25</v>
      </c>
      <c r="H74">
        <v>1.3620000000000001</v>
      </c>
      <c r="I74">
        <v>92</v>
      </c>
    </row>
    <row r="75" spans="1:9">
      <c r="A75" t="s">
        <v>4188</v>
      </c>
      <c r="B75" t="s">
        <v>216</v>
      </c>
      <c r="C75" s="2" t="s">
        <v>251</v>
      </c>
      <c r="E75">
        <v>23303.26</v>
      </c>
      <c r="H75">
        <v>1.1779999999999999</v>
      </c>
      <c r="I75">
        <v>80</v>
      </c>
    </row>
    <row r="76" spans="1:9">
      <c r="A76" t="s">
        <v>4174</v>
      </c>
      <c r="B76" t="s">
        <v>291</v>
      </c>
      <c r="C76" s="2" t="s">
        <v>251</v>
      </c>
      <c r="E76">
        <v>23221.1</v>
      </c>
      <c r="H76">
        <v>1.0780000000000001</v>
      </c>
      <c r="I76" t="s">
        <v>4215</v>
      </c>
    </row>
    <row r="77" spans="1:9">
      <c r="A77" t="s">
        <v>4216</v>
      </c>
      <c r="B77" t="s">
        <v>619</v>
      </c>
      <c r="C77" s="2" t="s">
        <v>248</v>
      </c>
      <c r="E77">
        <v>23260.92</v>
      </c>
      <c r="H77">
        <v>1.891</v>
      </c>
      <c r="I77">
        <v>85</v>
      </c>
    </row>
    <row r="78" spans="1:9">
      <c r="A78" t="s">
        <v>4217</v>
      </c>
      <c r="B78" t="s">
        <v>609</v>
      </c>
      <c r="C78" s="2" t="s">
        <v>252</v>
      </c>
      <c r="E78">
        <v>23466.84</v>
      </c>
      <c r="H78">
        <v>1.1100000000000001</v>
      </c>
      <c r="I78" t="s">
        <v>4218</v>
      </c>
    </row>
    <row r="79" spans="1:9">
      <c r="A79" t="s">
        <v>4216</v>
      </c>
      <c r="B79" t="s">
        <v>216</v>
      </c>
      <c r="C79" s="2" t="s">
        <v>248</v>
      </c>
      <c r="E79">
        <v>23528.45</v>
      </c>
      <c r="H79">
        <v>0.153</v>
      </c>
      <c r="I79">
        <v>85</v>
      </c>
    </row>
    <row r="80" spans="1:9">
      <c r="A80" t="s">
        <v>4216</v>
      </c>
      <c r="B80" t="s">
        <v>216</v>
      </c>
      <c r="C80" s="2" t="s">
        <v>250</v>
      </c>
      <c r="E80">
        <v>23704.81</v>
      </c>
      <c r="H80">
        <v>1.133</v>
      </c>
      <c r="I80">
        <v>79</v>
      </c>
    </row>
    <row r="81" spans="1:9">
      <c r="A81" t="s">
        <v>4216</v>
      </c>
      <c r="B81" t="s">
        <v>216</v>
      </c>
      <c r="C81" s="2" t="s">
        <v>249</v>
      </c>
      <c r="E81">
        <v>24046.1</v>
      </c>
      <c r="H81">
        <v>1.2709999999999999</v>
      </c>
      <c r="I81" t="s">
        <v>4219</v>
      </c>
    </row>
    <row r="82" spans="1:9">
      <c r="A82" t="s">
        <v>4216</v>
      </c>
      <c r="B82" t="s">
        <v>216</v>
      </c>
      <c r="C82" s="2" t="s">
        <v>251</v>
      </c>
      <c r="E82">
        <v>25083.360000000001</v>
      </c>
      <c r="H82">
        <v>1.381</v>
      </c>
      <c r="I82" t="s">
        <v>4220</v>
      </c>
    </row>
    <row r="83" spans="1:9">
      <c r="A83" t="s">
        <v>4174</v>
      </c>
      <c r="B83" t="s">
        <v>291</v>
      </c>
      <c r="C83" s="2" t="s">
        <v>249</v>
      </c>
      <c r="E83">
        <v>23874.95</v>
      </c>
      <c r="H83">
        <v>0.96199999999999997</v>
      </c>
      <c r="I83" t="s">
        <v>4221</v>
      </c>
    </row>
    <row r="84" spans="1:9">
      <c r="A84" t="s">
        <v>4222</v>
      </c>
      <c r="B84" t="s">
        <v>2603</v>
      </c>
      <c r="C84" s="2" t="s">
        <v>720</v>
      </c>
      <c r="I84">
        <v>100</v>
      </c>
    </row>
    <row r="85" spans="1:9">
      <c r="A85" t="s">
        <v>4222</v>
      </c>
      <c r="B85" t="s">
        <v>2603</v>
      </c>
      <c r="C85" s="2" t="s">
        <v>251</v>
      </c>
      <c r="E85">
        <v>24088.54</v>
      </c>
      <c r="H85">
        <v>0.72</v>
      </c>
      <c r="I85" t="s">
        <v>4223</v>
      </c>
    </row>
    <row r="86" spans="1:9">
      <c r="A86" t="s">
        <v>4222</v>
      </c>
      <c r="B86" t="s">
        <v>2603</v>
      </c>
      <c r="C86" s="2" t="s">
        <v>252</v>
      </c>
      <c r="E86">
        <v>24249</v>
      </c>
      <c r="H86">
        <v>0.96</v>
      </c>
      <c r="I86" t="s">
        <v>4224</v>
      </c>
    </row>
    <row r="87" spans="1:9">
      <c r="A87" t="s">
        <v>4222</v>
      </c>
      <c r="B87" t="s">
        <v>2603</v>
      </c>
      <c r="C87" s="2" t="s">
        <v>1702</v>
      </c>
      <c r="E87">
        <v>24841.42</v>
      </c>
      <c r="H87">
        <v>1.1499999999999999</v>
      </c>
      <c r="I87">
        <v>86</v>
      </c>
    </row>
    <row r="88" spans="1:9">
      <c r="A88" t="s">
        <v>4225</v>
      </c>
      <c r="B88" t="s">
        <v>214</v>
      </c>
      <c r="C88" s="2" t="s">
        <v>250</v>
      </c>
      <c r="E88">
        <v>24173.83</v>
      </c>
      <c r="H88">
        <v>0.71699999999999997</v>
      </c>
      <c r="I88" t="s">
        <v>4226</v>
      </c>
    </row>
    <row r="89" spans="1:9">
      <c r="A89" t="s">
        <v>4225</v>
      </c>
      <c r="B89" t="s">
        <v>214</v>
      </c>
      <c r="C89" s="2" t="s">
        <v>249</v>
      </c>
      <c r="E89">
        <v>24507.87</v>
      </c>
      <c r="F89" t="s">
        <v>1155</v>
      </c>
      <c r="H89">
        <v>1.1579999999999999</v>
      </c>
      <c r="I89" t="s">
        <v>4227</v>
      </c>
    </row>
    <row r="90" spans="1:9">
      <c r="A90" t="s">
        <v>4225</v>
      </c>
      <c r="B90" t="s">
        <v>214</v>
      </c>
      <c r="C90" s="2" t="s">
        <v>251</v>
      </c>
      <c r="E90">
        <v>25380.27</v>
      </c>
      <c r="H90">
        <v>1.228</v>
      </c>
      <c r="I90" t="s">
        <v>4228</v>
      </c>
    </row>
    <row r="91" spans="1:9">
      <c r="A91" t="s">
        <v>4225</v>
      </c>
      <c r="B91" t="s">
        <v>214</v>
      </c>
      <c r="C91" s="2" t="s">
        <v>252</v>
      </c>
      <c r="E91">
        <v>25997.17</v>
      </c>
      <c r="H91">
        <v>1.319</v>
      </c>
      <c r="I91" t="s">
        <v>4229</v>
      </c>
    </row>
    <row r="92" spans="1:9">
      <c r="A92" t="s">
        <v>4217</v>
      </c>
      <c r="B92" t="s">
        <v>291</v>
      </c>
      <c r="C92" s="2" t="s">
        <v>251</v>
      </c>
      <c r="E92">
        <v>24409.68</v>
      </c>
      <c r="H92">
        <v>1.161</v>
      </c>
      <c r="I92" t="s">
        <v>4230</v>
      </c>
    </row>
    <row r="93" spans="1:9">
      <c r="A93" t="s">
        <v>4216</v>
      </c>
      <c r="B93" t="s">
        <v>633</v>
      </c>
      <c r="C93" s="2" t="s">
        <v>250</v>
      </c>
      <c r="E93">
        <v>24639.26</v>
      </c>
      <c r="H93">
        <v>1.7809999999999999</v>
      </c>
      <c r="I93" t="s">
        <v>4231</v>
      </c>
    </row>
    <row r="94" spans="1:9">
      <c r="A94" t="s">
        <v>4232</v>
      </c>
      <c r="B94" t="s">
        <v>4233</v>
      </c>
      <c r="C94" s="2" t="s">
        <v>250</v>
      </c>
      <c r="E94">
        <v>24762.6</v>
      </c>
      <c r="H94">
        <v>0.85399999999999998</v>
      </c>
      <c r="I94" t="s">
        <v>4234</v>
      </c>
    </row>
    <row r="95" spans="1:9">
      <c r="A95" t="s">
        <v>4235</v>
      </c>
      <c r="B95" t="s">
        <v>291</v>
      </c>
      <c r="C95" s="2" t="s">
        <v>250</v>
      </c>
      <c r="E95">
        <v>24910.38</v>
      </c>
      <c r="H95">
        <v>0.72399999999999998</v>
      </c>
      <c r="I95" t="s">
        <v>4236</v>
      </c>
    </row>
    <row r="96" spans="1:9">
      <c r="A96" t="s">
        <v>4232</v>
      </c>
      <c r="B96" t="s">
        <v>291</v>
      </c>
      <c r="C96" s="2" t="s">
        <v>249</v>
      </c>
      <c r="E96">
        <v>24984.29</v>
      </c>
      <c r="H96">
        <v>1.0629999999999999</v>
      </c>
      <c r="I96" t="s">
        <v>4237</v>
      </c>
    </row>
    <row r="97" spans="1:9">
      <c r="A97" t="s">
        <v>4222</v>
      </c>
      <c r="B97" t="s">
        <v>291</v>
      </c>
      <c r="C97" s="2" t="s">
        <v>252</v>
      </c>
      <c r="E97">
        <v>25089.35</v>
      </c>
      <c r="H97">
        <v>0.94</v>
      </c>
      <c r="I97" t="s">
        <v>4238</v>
      </c>
    </row>
    <row r="98" spans="1:9">
      <c r="A98" t="s">
        <v>4216</v>
      </c>
      <c r="B98" t="s">
        <v>291</v>
      </c>
      <c r="C98" s="2" t="s">
        <v>249</v>
      </c>
      <c r="E98">
        <v>25218.27</v>
      </c>
      <c r="H98">
        <v>1.244</v>
      </c>
      <c r="I98" t="s">
        <v>4239</v>
      </c>
    </row>
    <row r="99" spans="1:9">
      <c r="A99" t="s">
        <v>4171</v>
      </c>
      <c r="B99" t="s">
        <v>689</v>
      </c>
      <c r="C99" s="2" t="s">
        <v>250</v>
      </c>
      <c r="I99" t="s">
        <v>4240</v>
      </c>
    </row>
    <row r="100" spans="1:9">
      <c r="A100" t="s">
        <v>4171</v>
      </c>
      <c r="B100" t="s">
        <v>689</v>
      </c>
      <c r="C100" s="2" t="s">
        <v>249</v>
      </c>
      <c r="E100">
        <v>25414.63</v>
      </c>
      <c r="I100" t="s">
        <v>4241</v>
      </c>
    </row>
    <row r="101" spans="1:9">
      <c r="A101" t="s">
        <v>4174</v>
      </c>
      <c r="B101" t="s">
        <v>291</v>
      </c>
      <c r="C101" s="2" t="s">
        <v>248</v>
      </c>
      <c r="E101">
        <v>25453.95</v>
      </c>
      <c r="H101">
        <v>0.98399999999999999</v>
      </c>
      <c r="I101" t="s">
        <v>4242</v>
      </c>
    </row>
    <row r="102" spans="1:9">
      <c r="A102" t="s">
        <v>4216</v>
      </c>
      <c r="B102" t="s">
        <v>213</v>
      </c>
      <c r="C102" s="2" t="s">
        <v>248</v>
      </c>
      <c r="E102">
        <v>25616.95</v>
      </c>
      <c r="H102">
        <v>2.274</v>
      </c>
      <c r="I102" t="s">
        <v>4243</v>
      </c>
    </row>
    <row r="103" spans="1:9">
      <c r="A103" t="s">
        <v>4216</v>
      </c>
      <c r="B103" t="s">
        <v>213</v>
      </c>
      <c r="C103" s="2" t="s">
        <v>250</v>
      </c>
      <c r="E103">
        <v>25643</v>
      </c>
      <c r="H103">
        <v>1.59</v>
      </c>
      <c r="I103" t="s">
        <v>4244</v>
      </c>
    </row>
    <row r="104" spans="1:9">
      <c r="A104" t="s">
        <v>4216</v>
      </c>
      <c r="B104" t="s">
        <v>213</v>
      </c>
      <c r="C104" s="2" t="s">
        <v>249</v>
      </c>
      <c r="E104">
        <v>26338.93</v>
      </c>
      <c r="H104">
        <v>1.524</v>
      </c>
      <c r="I104" t="s">
        <v>4245</v>
      </c>
    </row>
    <row r="105" spans="1:9">
      <c r="A105" t="s">
        <v>4246</v>
      </c>
      <c r="B105" t="s">
        <v>291</v>
      </c>
      <c r="C105" s="2" t="s">
        <v>1702</v>
      </c>
      <c r="E105">
        <v>25874.52</v>
      </c>
      <c r="H105">
        <v>1.0820000000000001</v>
      </c>
      <c r="I105" t="s">
        <v>4247</v>
      </c>
    </row>
    <row r="106" spans="1:9">
      <c r="A106" t="s">
        <v>4216</v>
      </c>
      <c r="B106" t="s">
        <v>291</v>
      </c>
      <c r="C106" s="2" t="s">
        <v>250</v>
      </c>
      <c r="E106">
        <v>25950.32</v>
      </c>
      <c r="H106">
        <v>1.4330000000000001</v>
      </c>
      <c r="I106" t="s">
        <v>4248</v>
      </c>
    </row>
    <row r="107" spans="1:9">
      <c r="A107" t="s">
        <v>4249</v>
      </c>
      <c r="B107" t="s">
        <v>606</v>
      </c>
      <c r="C107" s="2" t="s">
        <v>249</v>
      </c>
      <c r="E107">
        <v>27022.62</v>
      </c>
      <c r="H107">
        <v>0.57999999999999996</v>
      </c>
      <c r="I107">
        <v>78</v>
      </c>
    </row>
    <row r="108" spans="1:9">
      <c r="A108" t="s">
        <v>4249</v>
      </c>
      <c r="B108" t="s">
        <v>606</v>
      </c>
      <c r="C108" s="2" t="s">
        <v>251</v>
      </c>
      <c r="E108">
        <v>27455.31</v>
      </c>
      <c r="H108">
        <v>0.97599999999999998</v>
      </c>
      <c r="I108" t="s">
        <v>4250</v>
      </c>
    </row>
    <row r="109" spans="1:9">
      <c r="A109" t="s">
        <v>4249</v>
      </c>
      <c r="B109" t="s">
        <v>606</v>
      </c>
      <c r="C109" s="2" t="s">
        <v>252</v>
      </c>
      <c r="E109">
        <v>28089.17</v>
      </c>
      <c r="H109">
        <v>1.163</v>
      </c>
      <c r="I109">
        <v>95</v>
      </c>
    </row>
    <row r="110" spans="1:9">
      <c r="A110" t="s">
        <v>4249</v>
      </c>
      <c r="B110" t="s">
        <v>606</v>
      </c>
      <c r="C110" s="2" t="s">
        <v>1702</v>
      </c>
      <c r="E110">
        <v>28743.24</v>
      </c>
      <c r="H110">
        <v>1.27</v>
      </c>
      <c r="I110">
        <v>96</v>
      </c>
    </row>
    <row r="111" spans="1:9">
      <c r="A111" t="s">
        <v>4246</v>
      </c>
      <c r="B111" t="s">
        <v>291</v>
      </c>
      <c r="C111" s="2" t="s">
        <v>252</v>
      </c>
      <c r="E111">
        <v>27054.959999999999</v>
      </c>
      <c r="H111">
        <v>0.91</v>
      </c>
      <c r="I111" t="s">
        <v>4251</v>
      </c>
    </row>
    <row r="112" spans="1:9">
      <c r="A112" t="s">
        <v>4246</v>
      </c>
      <c r="B112" t="s">
        <v>609</v>
      </c>
      <c r="C112" s="2" t="s">
        <v>251</v>
      </c>
      <c r="E112">
        <v>27132.44</v>
      </c>
      <c r="H112">
        <v>0.94</v>
      </c>
      <c r="I112" t="s">
        <v>4252</v>
      </c>
    </row>
    <row r="113" spans="1:9">
      <c r="A113" t="s">
        <v>4246</v>
      </c>
      <c r="B113" t="s">
        <v>609</v>
      </c>
      <c r="C113" s="2" t="s">
        <v>252</v>
      </c>
      <c r="E113">
        <v>27619.54</v>
      </c>
      <c r="H113">
        <v>1.1200000000000001</v>
      </c>
      <c r="I113" t="s">
        <v>4253</v>
      </c>
    </row>
    <row r="114" spans="1:9">
      <c r="A114" t="s">
        <v>4216</v>
      </c>
      <c r="B114" t="s">
        <v>211</v>
      </c>
      <c r="C114" s="2" t="s">
        <v>250</v>
      </c>
      <c r="E114">
        <v>27225.26</v>
      </c>
      <c r="H114">
        <v>1.31</v>
      </c>
      <c r="I114" t="s">
        <v>4254</v>
      </c>
    </row>
    <row r="115" spans="1:9">
      <c r="A115" t="s">
        <v>4216</v>
      </c>
      <c r="B115" t="s">
        <v>211</v>
      </c>
      <c r="C115" s="2" t="s">
        <v>248</v>
      </c>
      <c r="E115">
        <v>27748.97</v>
      </c>
      <c r="H115">
        <v>0.68200000000000005</v>
      </c>
      <c r="I115" t="s">
        <v>4255</v>
      </c>
    </row>
    <row r="116" spans="1:9">
      <c r="A116" t="s">
        <v>4256</v>
      </c>
      <c r="B116" t="s">
        <v>291</v>
      </c>
      <c r="C116" s="2" t="s">
        <v>249</v>
      </c>
      <c r="E116">
        <v>27393.040000000001</v>
      </c>
      <c r="H116">
        <v>0.88800000000000001</v>
      </c>
      <c r="I116" t="s">
        <v>4257</v>
      </c>
    </row>
    <row r="117" spans="1:9">
      <c r="A117" t="s">
        <v>4225</v>
      </c>
      <c r="B117" t="s">
        <v>219</v>
      </c>
      <c r="C117" s="2" t="s">
        <v>249</v>
      </c>
      <c r="E117">
        <v>27669.37</v>
      </c>
      <c r="H117">
        <v>0.88</v>
      </c>
      <c r="I117" t="s">
        <v>4258</v>
      </c>
    </row>
    <row r="118" spans="1:9">
      <c r="A118" t="s">
        <v>4225</v>
      </c>
      <c r="B118" t="s">
        <v>219</v>
      </c>
      <c r="C118" s="2" t="s">
        <v>251</v>
      </c>
      <c r="E118">
        <v>28543.08</v>
      </c>
      <c r="H118">
        <v>1.1200000000000001</v>
      </c>
      <c r="I118" t="s">
        <v>4259</v>
      </c>
    </row>
    <row r="119" spans="1:9">
      <c r="A119" t="s">
        <v>4260</v>
      </c>
      <c r="B119" t="s">
        <v>291</v>
      </c>
      <c r="C119" s="2" t="s">
        <v>250</v>
      </c>
      <c r="E119">
        <v>27968.54</v>
      </c>
      <c r="H119">
        <v>0.83599999999999997</v>
      </c>
      <c r="I119" t="s">
        <v>4261</v>
      </c>
    </row>
    <row r="120" spans="1:9">
      <c r="A120" t="s">
        <v>4203</v>
      </c>
      <c r="B120" t="s">
        <v>291</v>
      </c>
      <c r="C120" s="2" t="s">
        <v>251</v>
      </c>
      <c r="E120">
        <v>28039.45</v>
      </c>
      <c r="H120">
        <v>1.1399999999999999</v>
      </c>
      <c r="I120" t="s">
        <v>4262</v>
      </c>
    </row>
    <row r="121" spans="1:9">
      <c r="A121" t="s">
        <v>4222</v>
      </c>
      <c r="B121" t="s">
        <v>644</v>
      </c>
      <c r="C121" s="2" t="s">
        <v>1702</v>
      </c>
      <c r="E121">
        <v>28179.07</v>
      </c>
      <c r="H121">
        <v>1.0980000000000001</v>
      </c>
      <c r="I121" t="s">
        <v>4263</v>
      </c>
    </row>
    <row r="122" spans="1:9">
      <c r="A122" t="s">
        <v>4174</v>
      </c>
      <c r="B122" t="s">
        <v>291</v>
      </c>
      <c r="C122" s="2" t="s">
        <v>249</v>
      </c>
      <c r="E122">
        <v>28506.41</v>
      </c>
      <c r="H122">
        <v>1.2</v>
      </c>
      <c r="I122" t="s">
        <v>4264</v>
      </c>
    </row>
    <row r="123" spans="1:9">
      <c r="A123" t="s">
        <v>4265</v>
      </c>
      <c r="B123" t="s">
        <v>576</v>
      </c>
      <c r="C123" s="2" t="s">
        <v>252</v>
      </c>
      <c r="I123" t="s">
        <v>4266</v>
      </c>
    </row>
    <row r="124" spans="1:9">
      <c r="A124" t="s">
        <v>4265</v>
      </c>
      <c r="B124" t="s">
        <v>576</v>
      </c>
      <c r="C124" s="2" t="s">
        <v>250</v>
      </c>
      <c r="E124">
        <v>28742.34</v>
      </c>
      <c r="H124">
        <v>0.45</v>
      </c>
      <c r="I124" t="s">
        <v>4267</v>
      </c>
    </row>
    <row r="125" spans="1:9">
      <c r="A125" t="s">
        <v>4265</v>
      </c>
      <c r="B125" t="s">
        <v>576</v>
      </c>
      <c r="C125" s="2" t="s">
        <v>249</v>
      </c>
      <c r="E125">
        <v>28754.959999999999</v>
      </c>
      <c r="H125">
        <v>0.93</v>
      </c>
      <c r="I125" t="s">
        <v>4268</v>
      </c>
    </row>
    <row r="126" spans="1:9">
      <c r="A126" t="s">
        <v>4265</v>
      </c>
      <c r="B126" t="s">
        <v>576</v>
      </c>
      <c r="C126" s="2" t="s">
        <v>251</v>
      </c>
      <c r="E126">
        <v>30055.05</v>
      </c>
      <c r="H126">
        <v>1.19</v>
      </c>
      <c r="I126" t="s">
        <v>4269</v>
      </c>
    </row>
    <row r="127" spans="1:9">
      <c r="A127" t="s">
        <v>4260</v>
      </c>
      <c r="B127" t="s">
        <v>216</v>
      </c>
      <c r="C127" s="2" t="s">
        <v>248</v>
      </c>
      <c r="E127">
        <v>28893.51</v>
      </c>
      <c r="H127">
        <v>1.7999999999999999E-2</v>
      </c>
      <c r="I127" t="s">
        <v>4270</v>
      </c>
    </row>
    <row r="128" spans="1:9">
      <c r="A128" t="s">
        <v>4260</v>
      </c>
      <c r="B128" t="s">
        <v>291</v>
      </c>
      <c r="C128" s="2" t="s">
        <v>250</v>
      </c>
      <c r="E128">
        <v>28971.84</v>
      </c>
      <c r="H128">
        <v>0.88400000000000001</v>
      </c>
      <c r="I128" t="s">
        <v>4271</v>
      </c>
    </row>
    <row r="129" spans="1:9">
      <c r="A129" t="s">
        <v>4265</v>
      </c>
      <c r="C129" s="2" t="s">
        <v>251</v>
      </c>
      <c r="E129">
        <v>29045.86</v>
      </c>
      <c r="H129">
        <v>1.1499999999999999</v>
      </c>
      <c r="I129" t="s">
        <v>4272</v>
      </c>
    </row>
    <row r="130" spans="1:9">
      <c r="A130" t="s">
        <v>4260</v>
      </c>
      <c r="B130" t="s">
        <v>291</v>
      </c>
      <c r="C130" s="2" t="s">
        <v>250</v>
      </c>
      <c r="E130">
        <v>29199.57</v>
      </c>
      <c r="H130">
        <v>1.1060000000000001</v>
      </c>
      <c r="I130" t="s">
        <v>4273</v>
      </c>
    </row>
    <row r="131" spans="1:9">
      <c r="B131" t="s">
        <v>291</v>
      </c>
      <c r="C131" s="2" t="s">
        <v>251</v>
      </c>
      <c r="E131">
        <v>29466.67</v>
      </c>
      <c r="H131">
        <v>0.93</v>
      </c>
      <c r="I131" t="s">
        <v>1590</v>
      </c>
    </row>
    <row r="132" spans="1:9">
      <c r="A132" t="s">
        <v>4260</v>
      </c>
      <c r="B132" t="s">
        <v>291</v>
      </c>
      <c r="C132" s="2" t="s">
        <v>249</v>
      </c>
      <c r="E132">
        <v>29502.18</v>
      </c>
      <c r="F132" t="s">
        <v>1155</v>
      </c>
      <c r="H132">
        <v>1.2629999999999999</v>
      </c>
      <c r="I132" t="s">
        <v>4274</v>
      </c>
    </row>
    <row r="133" spans="1:9">
      <c r="A133" t="s">
        <v>4275</v>
      </c>
      <c r="B133" t="s">
        <v>291</v>
      </c>
      <c r="C133" s="2" t="s">
        <v>248</v>
      </c>
      <c r="E133">
        <v>29564.7</v>
      </c>
      <c r="H133">
        <v>0.78</v>
      </c>
      <c r="I133" t="s">
        <v>4276</v>
      </c>
    </row>
    <row r="134" spans="1:9">
      <c r="A134" t="s">
        <v>4265</v>
      </c>
      <c r="B134" t="s">
        <v>651</v>
      </c>
      <c r="C134" s="2" t="s">
        <v>1702</v>
      </c>
      <c r="I134">
        <v>100</v>
      </c>
    </row>
    <row r="135" spans="1:9">
      <c r="A135" t="s">
        <v>4265</v>
      </c>
      <c r="B135" t="s">
        <v>651</v>
      </c>
      <c r="C135" s="2" t="s">
        <v>249</v>
      </c>
      <c r="E135">
        <v>29578.82</v>
      </c>
      <c r="H135">
        <v>0.78</v>
      </c>
      <c r="I135" t="s">
        <v>4277</v>
      </c>
    </row>
    <row r="136" spans="1:9">
      <c r="A136" t="s">
        <v>4265</v>
      </c>
      <c r="B136" t="s">
        <v>651</v>
      </c>
      <c r="C136" s="2" t="s">
        <v>251</v>
      </c>
      <c r="E136">
        <v>30401.7</v>
      </c>
      <c r="H136">
        <v>1.03</v>
      </c>
      <c r="I136" t="s">
        <v>4278</v>
      </c>
    </row>
    <row r="137" spans="1:9">
      <c r="A137" t="s">
        <v>4265</v>
      </c>
      <c r="B137" t="s">
        <v>651</v>
      </c>
      <c r="C137" s="2" t="s">
        <v>252</v>
      </c>
      <c r="E137">
        <v>30934.76</v>
      </c>
      <c r="H137">
        <v>1.1599999999999999</v>
      </c>
      <c r="I137" t="s">
        <v>4279</v>
      </c>
    </row>
    <row r="138" spans="1:9">
      <c r="A138" t="s">
        <v>4260</v>
      </c>
      <c r="B138" t="s">
        <v>291</v>
      </c>
      <c r="C138" s="2" t="s">
        <v>249</v>
      </c>
      <c r="E138">
        <v>29775.58</v>
      </c>
      <c r="F138" t="s">
        <v>1155</v>
      </c>
      <c r="H138">
        <v>1.2529999999999999</v>
      </c>
      <c r="I138" t="s">
        <v>4273</v>
      </c>
    </row>
    <row r="139" spans="1:9">
      <c r="A139" t="s">
        <v>4280</v>
      </c>
      <c r="C139" s="2" t="s">
        <v>250</v>
      </c>
      <c r="E139">
        <v>29874.97</v>
      </c>
      <c r="H139">
        <v>0.7</v>
      </c>
      <c r="I139" t="s">
        <v>4281</v>
      </c>
    </row>
    <row r="140" spans="1:9">
      <c r="A140" t="s">
        <v>4260</v>
      </c>
      <c r="B140" t="s">
        <v>291</v>
      </c>
      <c r="C140" s="2" t="s">
        <v>251</v>
      </c>
      <c r="E140">
        <v>29894.91</v>
      </c>
      <c r="H140">
        <v>1.3520000000000001</v>
      </c>
      <c r="I140" t="s">
        <v>4282</v>
      </c>
    </row>
    <row r="141" spans="1:9">
      <c r="A141" t="s">
        <v>4280</v>
      </c>
      <c r="C141" s="2" t="s">
        <v>249</v>
      </c>
      <c r="E141">
        <v>29905.33</v>
      </c>
      <c r="H141">
        <v>1.1399999999999999</v>
      </c>
      <c r="I141" t="s">
        <v>4283</v>
      </c>
    </row>
    <row r="142" spans="1:9">
      <c r="A142" t="s">
        <v>4275</v>
      </c>
      <c r="B142" t="s">
        <v>291</v>
      </c>
      <c r="C142" s="2" t="s">
        <v>250</v>
      </c>
      <c r="E142">
        <v>29936.74</v>
      </c>
      <c r="F142" t="s">
        <v>1155</v>
      </c>
      <c r="H142">
        <v>1.492</v>
      </c>
      <c r="I142" t="s">
        <v>4284</v>
      </c>
    </row>
    <row r="143" spans="1:9">
      <c r="A143" t="s">
        <v>4275</v>
      </c>
      <c r="B143" t="s">
        <v>213</v>
      </c>
      <c r="C143" s="2" t="s">
        <v>248</v>
      </c>
      <c r="E143">
        <v>29985.46</v>
      </c>
      <c r="H143">
        <v>2.5339999999999998</v>
      </c>
      <c r="I143" t="s">
        <v>4285</v>
      </c>
    </row>
    <row r="144" spans="1:9">
      <c r="A144" t="s">
        <v>4275</v>
      </c>
      <c r="B144" t="s">
        <v>213</v>
      </c>
      <c r="C144" s="2" t="s">
        <v>250</v>
      </c>
      <c r="E144">
        <v>30417.46</v>
      </c>
      <c r="F144" t="s">
        <v>1155</v>
      </c>
      <c r="H144">
        <v>1.5329999999999999</v>
      </c>
      <c r="I144" t="s">
        <v>4286</v>
      </c>
    </row>
    <row r="145" spans="1:9">
      <c r="A145" t="s">
        <v>4275</v>
      </c>
      <c r="B145" t="s">
        <v>213</v>
      </c>
      <c r="C145" s="2" t="s">
        <v>249</v>
      </c>
      <c r="E145">
        <v>30896.84</v>
      </c>
      <c r="H145">
        <v>1.4239999999999999</v>
      </c>
      <c r="I145" t="s">
        <v>4287</v>
      </c>
    </row>
    <row r="146" spans="1:9">
      <c r="A146" t="s">
        <v>4288</v>
      </c>
      <c r="B146" t="s">
        <v>231</v>
      </c>
      <c r="C146" s="2" t="s">
        <v>248</v>
      </c>
      <c r="E146">
        <v>30019.24</v>
      </c>
      <c r="H146">
        <v>0</v>
      </c>
      <c r="I146">
        <v>100</v>
      </c>
    </row>
    <row r="147" spans="1:9">
      <c r="A147" t="s">
        <v>4288</v>
      </c>
      <c r="B147" t="s">
        <v>231</v>
      </c>
      <c r="C147" s="2" t="s">
        <v>250</v>
      </c>
      <c r="E147">
        <v>30169.82</v>
      </c>
      <c r="H147">
        <v>0.91</v>
      </c>
      <c r="I147" t="s">
        <v>4289</v>
      </c>
    </row>
    <row r="148" spans="1:9">
      <c r="A148" t="s">
        <v>4288</v>
      </c>
      <c r="B148" t="s">
        <v>231</v>
      </c>
      <c r="C148" s="2" t="s">
        <v>249</v>
      </c>
      <c r="E148">
        <v>30354.28</v>
      </c>
      <c r="H148">
        <v>1.07</v>
      </c>
      <c r="I148" t="s">
        <v>4290</v>
      </c>
    </row>
    <row r="149" spans="1:9">
      <c r="A149" t="s">
        <v>4288</v>
      </c>
      <c r="B149" t="s">
        <v>231</v>
      </c>
      <c r="C149" s="2" t="s">
        <v>251</v>
      </c>
      <c r="E149">
        <v>31287.59</v>
      </c>
      <c r="H149">
        <v>1.41</v>
      </c>
      <c r="I149" t="s">
        <v>4291</v>
      </c>
    </row>
    <row r="150" spans="1:9">
      <c r="A150" t="s">
        <v>4292</v>
      </c>
      <c r="B150" t="s">
        <v>577</v>
      </c>
      <c r="C150" s="2" t="s">
        <v>249</v>
      </c>
      <c r="E150">
        <v>30305.61</v>
      </c>
      <c r="H150">
        <v>0.84</v>
      </c>
      <c r="I150" t="s">
        <v>4293</v>
      </c>
    </row>
    <row r="151" spans="1:9">
      <c r="B151" t="s">
        <v>291</v>
      </c>
      <c r="C151" s="2" t="s">
        <v>252</v>
      </c>
      <c r="E151">
        <v>30650.28</v>
      </c>
      <c r="H151">
        <v>1.08</v>
      </c>
      <c r="I151" t="s">
        <v>1590</v>
      </c>
    </row>
    <row r="152" spans="1:9">
      <c r="B152" t="s">
        <v>291</v>
      </c>
      <c r="C152" s="2" t="s">
        <v>249</v>
      </c>
      <c r="E152">
        <v>30788.45</v>
      </c>
      <c r="H152">
        <v>1.04</v>
      </c>
      <c r="I152" t="s">
        <v>1590</v>
      </c>
    </row>
    <row r="153" spans="1:9">
      <c r="A153" t="s">
        <v>4265</v>
      </c>
      <c r="B153" t="s">
        <v>231</v>
      </c>
      <c r="C153" s="2" t="s">
        <v>249</v>
      </c>
      <c r="E153">
        <v>30908.86</v>
      </c>
      <c r="H153">
        <v>1.25</v>
      </c>
      <c r="I153" t="s">
        <v>4294</v>
      </c>
    </row>
    <row r="154" spans="1:9">
      <c r="A154" t="s">
        <v>4265</v>
      </c>
      <c r="B154" t="s">
        <v>231</v>
      </c>
      <c r="C154" s="2" t="s">
        <v>250</v>
      </c>
      <c r="E154">
        <v>30988.36</v>
      </c>
      <c r="H154">
        <v>1.1200000000000001</v>
      </c>
      <c r="I154" t="s">
        <v>4295</v>
      </c>
    </row>
    <row r="155" spans="1:9">
      <c r="A155" t="s">
        <v>4265</v>
      </c>
      <c r="B155" t="s">
        <v>231</v>
      </c>
      <c r="C155" s="2" t="s">
        <v>248</v>
      </c>
      <c r="E155">
        <v>31061.85</v>
      </c>
      <c r="H155">
        <v>0</v>
      </c>
      <c r="I155">
        <v>100</v>
      </c>
    </row>
    <row r="156" spans="1:9">
      <c r="A156" t="s">
        <v>4265</v>
      </c>
      <c r="B156" t="s">
        <v>231</v>
      </c>
      <c r="C156" s="2" t="s">
        <v>251</v>
      </c>
      <c r="E156">
        <v>31925</v>
      </c>
      <c r="H156">
        <v>1.27</v>
      </c>
      <c r="I156" t="s">
        <v>4296</v>
      </c>
    </row>
    <row r="157" spans="1:9">
      <c r="B157" t="s">
        <v>291</v>
      </c>
      <c r="C157" s="2" t="s">
        <v>251</v>
      </c>
      <c r="E157">
        <v>30964.71</v>
      </c>
      <c r="H157">
        <v>1.1499999999999999</v>
      </c>
      <c r="I157" t="s">
        <v>1590</v>
      </c>
    </row>
    <row r="158" spans="1:9">
      <c r="A158" t="s">
        <v>4280</v>
      </c>
      <c r="B158" t="s">
        <v>576</v>
      </c>
      <c r="C158" s="2" t="s">
        <v>251</v>
      </c>
      <c r="E158">
        <v>31059.69</v>
      </c>
      <c r="H158">
        <v>1.22</v>
      </c>
      <c r="I158" t="s">
        <v>4297</v>
      </c>
    </row>
    <row r="159" spans="1:9">
      <c r="A159" t="s">
        <v>4280</v>
      </c>
      <c r="C159" s="2" t="s">
        <v>249</v>
      </c>
      <c r="E159">
        <v>31119.02</v>
      </c>
      <c r="H159">
        <v>0.98</v>
      </c>
      <c r="I159" t="s">
        <v>4298</v>
      </c>
    </row>
    <row r="160" spans="1:9">
      <c r="A160" t="s">
        <v>4299</v>
      </c>
      <c r="C160" s="2" t="s">
        <v>250</v>
      </c>
      <c r="E160">
        <v>31247.78</v>
      </c>
      <c r="H160">
        <v>0.78</v>
      </c>
      <c r="I160" t="s">
        <v>4300</v>
      </c>
    </row>
    <row r="161" spans="1:9">
      <c r="A161" t="s">
        <v>4288</v>
      </c>
      <c r="C161" s="2" t="s">
        <v>249</v>
      </c>
      <c r="E161">
        <v>31351.599999999999</v>
      </c>
      <c r="H161">
        <v>1.18</v>
      </c>
      <c r="I161" t="s">
        <v>4301</v>
      </c>
    </row>
    <row r="162" spans="1:9">
      <c r="B162" t="s">
        <v>291</v>
      </c>
      <c r="C162" s="2" t="s">
        <v>249</v>
      </c>
      <c r="E162">
        <v>31477.22</v>
      </c>
      <c r="H162">
        <v>0.9</v>
      </c>
      <c r="I162" t="s">
        <v>1590</v>
      </c>
    </row>
    <row r="163" spans="1:9">
      <c r="A163" t="s">
        <v>4288</v>
      </c>
      <c r="B163" t="s">
        <v>209</v>
      </c>
      <c r="C163" s="2" t="s">
        <v>250</v>
      </c>
      <c r="E163">
        <v>31688.66</v>
      </c>
      <c r="H163">
        <v>0.81</v>
      </c>
      <c r="I163" t="s">
        <v>4302</v>
      </c>
    </row>
    <row r="164" spans="1:9">
      <c r="A164" t="s">
        <v>4288</v>
      </c>
      <c r="B164" t="s">
        <v>209</v>
      </c>
      <c r="C164" s="2" t="s">
        <v>249</v>
      </c>
      <c r="E164">
        <v>32872.94</v>
      </c>
      <c r="H164">
        <v>1.19</v>
      </c>
      <c r="I164" t="s">
        <v>4303</v>
      </c>
    </row>
    <row r="165" spans="1:9">
      <c r="B165" t="s">
        <v>291</v>
      </c>
      <c r="C165" s="2" t="s">
        <v>250</v>
      </c>
      <c r="E165">
        <v>31751.48</v>
      </c>
      <c r="H165">
        <v>0.83199999999999996</v>
      </c>
      <c r="I165" t="s">
        <v>1590</v>
      </c>
    </row>
    <row r="166" spans="1:9">
      <c r="A166" t="s">
        <v>4280</v>
      </c>
      <c r="B166" t="s">
        <v>576</v>
      </c>
      <c r="C166" s="2" t="s">
        <v>252</v>
      </c>
      <c r="E166">
        <v>31923.96</v>
      </c>
      <c r="H166">
        <v>1.34</v>
      </c>
      <c r="I166" t="s">
        <v>4304</v>
      </c>
    </row>
    <row r="167" spans="1:9">
      <c r="A167" t="s">
        <v>4280</v>
      </c>
      <c r="B167" t="s">
        <v>577</v>
      </c>
      <c r="C167" s="2" t="s">
        <v>251</v>
      </c>
      <c r="E167">
        <v>32108.48</v>
      </c>
      <c r="H167">
        <v>1.1299999999999999</v>
      </c>
      <c r="I167" t="s">
        <v>4305</v>
      </c>
    </row>
    <row r="168" spans="1:9">
      <c r="B168" t="s">
        <v>291</v>
      </c>
      <c r="C168" s="2" t="s">
        <v>251</v>
      </c>
      <c r="E168">
        <v>32140.55</v>
      </c>
      <c r="H168">
        <v>1.1499999999999999</v>
      </c>
      <c r="I168" t="s">
        <v>1590</v>
      </c>
    </row>
    <row r="169" spans="1:9">
      <c r="A169" t="s">
        <v>4306</v>
      </c>
      <c r="B169" t="s">
        <v>4307</v>
      </c>
      <c r="C169" s="2" t="s">
        <v>252</v>
      </c>
      <c r="I169" t="s">
        <v>4308</v>
      </c>
    </row>
    <row r="170" spans="1:9">
      <c r="A170" t="s">
        <v>4306</v>
      </c>
      <c r="B170" t="s">
        <v>4307</v>
      </c>
      <c r="C170" s="2" t="s">
        <v>251</v>
      </c>
      <c r="E170">
        <v>32219.53</v>
      </c>
      <c r="H170">
        <v>1.06</v>
      </c>
      <c r="I170" t="s">
        <v>4309</v>
      </c>
    </row>
    <row r="171" spans="1:9">
      <c r="A171" t="s">
        <v>4310</v>
      </c>
      <c r="B171" t="s">
        <v>211</v>
      </c>
      <c r="C171" s="2" t="s">
        <v>250</v>
      </c>
      <c r="I171" t="s">
        <v>4311</v>
      </c>
    </row>
    <row r="172" spans="1:9">
      <c r="A172" t="s">
        <v>4310</v>
      </c>
      <c r="B172" t="s">
        <v>211</v>
      </c>
      <c r="C172" s="2" t="s">
        <v>248</v>
      </c>
      <c r="E172">
        <v>32290.16</v>
      </c>
      <c r="H172">
        <v>0.67</v>
      </c>
      <c r="I172" t="s">
        <v>4312</v>
      </c>
    </row>
    <row r="173" spans="1:9">
      <c r="A173" t="s">
        <v>4292</v>
      </c>
      <c r="C173" s="2" t="s">
        <v>249</v>
      </c>
      <c r="E173">
        <v>32348.34</v>
      </c>
      <c r="H173">
        <v>1.23</v>
      </c>
      <c r="I173" t="s">
        <v>4313</v>
      </c>
    </row>
    <row r="174" spans="1:9">
      <c r="B174" t="s">
        <v>291</v>
      </c>
      <c r="C174" s="2" t="s">
        <v>252</v>
      </c>
      <c r="E174">
        <v>32415.73</v>
      </c>
      <c r="H174">
        <v>0.92</v>
      </c>
      <c r="I174" t="s">
        <v>1590</v>
      </c>
    </row>
    <row r="175" spans="1:9">
      <c r="B175" t="s">
        <v>291</v>
      </c>
      <c r="C175" s="2" t="s">
        <v>249</v>
      </c>
      <c r="E175">
        <v>32492.76</v>
      </c>
      <c r="H175">
        <v>1.145</v>
      </c>
      <c r="I175" t="s">
        <v>1590</v>
      </c>
    </row>
    <row r="176" spans="1:9">
      <c r="C176" s="2" t="s">
        <v>248</v>
      </c>
      <c r="E176">
        <v>33143.550000000003</v>
      </c>
      <c r="H176">
        <v>1.39</v>
      </c>
      <c r="I176" t="s">
        <v>1590</v>
      </c>
    </row>
    <row r="177" spans="1:9">
      <c r="B177" t="s">
        <v>291</v>
      </c>
      <c r="C177" s="2" t="s">
        <v>250</v>
      </c>
      <c r="E177">
        <v>33204.050000000003</v>
      </c>
      <c r="H177">
        <v>1.3240000000000001</v>
      </c>
      <c r="I177" t="s">
        <v>1590</v>
      </c>
    </row>
    <row r="178" spans="1:9">
      <c r="A178" t="s">
        <v>4314</v>
      </c>
      <c r="B178" t="s">
        <v>716</v>
      </c>
      <c r="C178" s="2" t="s">
        <v>720</v>
      </c>
      <c r="I178" t="s">
        <v>1590</v>
      </c>
    </row>
    <row r="179" spans="1:9">
      <c r="A179" t="s">
        <v>4314</v>
      </c>
      <c r="B179" t="s">
        <v>716</v>
      </c>
      <c r="C179" s="2" t="s">
        <v>1702</v>
      </c>
      <c r="I179" t="s">
        <v>1590</v>
      </c>
    </row>
    <row r="180" spans="1:9">
      <c r="A180" t="s">
        <v>4314</v>
      </c>
      <c r="B180" t="s">
        <v>716</v>
      </c>
      <c r="C180" s="2" t="s">
        <v>251</v>
      </c>
      <c r="E180">
        <v>33286.5</v>
      </c>
      <c r="H180">
        <v>0.78</v>
      </c>
      <c r="I180" t="s">
        <v>1590</v>
      </c>
    </row>
    <row r="181" spans="1:9">
      <c r="A181" t="s">
        <v>4314</v>
      </c>
      <c r="B181" t="s">
        <v>716</v>
      </c>
      <c r="C181" s="2" t="s">
        <v>252</v>
      </c>
      <c r="E181">
        <v>33753.410000000003</v>
      </c>
      <c r="H181">
        <v>1.02</v>
      </c>
      <c r="I181" t="s">
        <v>1590</v>
      </c>
    </row>
    <row r="182" spans="1:9">
      <c r="A182" t="s">
        <v>4314</v>
      </c>
      <c r="B182" t="s">
        <v>651</v>
      </c>
      <c r="C182" s="2" t="s">
        <v>249</v>
      </c>
      <c r="E182">
        <v>33350</v>
      </c>
      <c r="H182">
        <v>0.68</v>
      </c>
      <c r="I182" t="s">
        <v>1590</v>
      </c>
    </row>
    <row r="183" spans="1:9">
      <c r="A183" t="s">
        <v>4314</v>
      </c>
      <c r="B183" t="s">
        <v>651</v>
      </c>
      <c r="C183" s="2" t="s">
        <v>251</v>
      </c>
      <c r="E183">
        <v>33756.449999999997</v>
      </c>
      <c r="H183">
        <v>0.99</v>
      </c>
      <c r="I183" t="s">
        <v>1590</v>
      </c>
    </row>
    <row r="184" spans="1:9">
      <c r="A184" t="s">
        <v>4314</v>
      </c>
      <c r="B184" t="s">
        <v>651</v>
      </c>
      <c r="C184" s="2" t="s">
        <v>252</v>
      </c>
      <c r="E184">
        <v>34526.69</v>
      </c>
      <c r="I184" t="s">
        <v>1590</v>
      </c>
    </row>
    <row r="185" spans="1:9">
      <c r="A185" t="s">
        <v>4314</v>
      </c>
      <c r="B185" t="s">
        <v>651</v>
      </c>
      <c r="C185" s="2" t="s">
        <v>1702</v>
      </c>
      <c r="E185">
        <v>35236.199999999997</v>
      </c>
      <c r="H185">
        <v>1.21</v>
      </c>
      <c r="I185" t="s">
        <v>1590</v>
      </c>
    </row>
    <row r="186" spans="1:9">
      <c r="C186" s="2" t="s">
        <v>248</v>
      </c>
      <c r="E186">
        <v>33419.480000000003</v>
      </c>
      <c r="H186">
        <v>1.03</v>
      </c>
      <c r="I186" t="s">
        <v>1590</v>
      </c>
    </row>
    <row r="187" spans="1:9">
      <c r="C187" s="2" t="s">
        <v>250</v>
      </c>
      <c r="E187">
        <v>33657.050000000003</v>
      </c>
      <c r="H187">
        <v>1.17</v>
      </c>
      <c r="I187" t="s">
        <v>1590</v>
      </c>
    </row>
    <row r="188" spans="1:9">
      <c r="C188" s="2" t="s">
        <v>249</v>
      </c>
      <c r="E188">
        <v>33678.21</v>
      </c>
      <c r="H188">
        <v>0.99</v>
      </c>
      <c r="I188" t="s">
        <v>1590</v>
      </c>
    </row>
    <row r="189" spans="1:9">
      <c r="B189" t="s">
        <v>291</v>
      </c>
      <c r="C189" s="2" t="s">
        <v>249</v>
      </c>
      <c r="E189">
        <v>33799.230000000003</v>
      </c>
      <c r="H189">
        <v>1.25</v>
      </c>
      <c r="I189" t="s">
        <v>1590</v>
      </c>
    </row>
    <row r="190" spans="1:9">
      <c r="B190" t="s">
        <v>291</v>
      </c>
      <c r="C190" s="2" t="s">
        <v>248</v>
      </c>
      <c r="E190">
        <v>33820.31</v>
      </c>
      <c r="H190">
        <v>0.61699999999999999</v>
      </c>
      <c r="I190" t="s">
        <v>1590</v>
      </c>
    </row>
    <row r="191" spans="1:9">
      <c r="A191" t="s">
        <v>4315</v>
      </c>
      <c r="B191" t="s">
        <v>4316</v>
      </c>
      <c r="C191" s="2" t="s">
        <v>250</v>
      </c>
      <c r="E191">
        <v>34015.760000000002</v>
      </c>
      <c r="H191">
        <v>0.6</v>
      </c>
      <c r="I191" t="s">
        <v>1590</v>
      </c>
    </row>
    <row r="192" spans="1:9">
      <c r="A192" t="s">
        <v>4315</v>
      </c>
      <c r="B192" t="s">
        <v>4316</v>
      </c>
      <c r="C192" s="2" t="s">
        <v>249</v>
      </c>
      <c r="E192">
        <v>34213.53</v>
      </c>
      <c r="I192" t="s">
        <v>1590</v>
      </c>
    </row>
    <row r="193" spans="1:9">
      <c r="A193" t="s">
        <v>4315</v>
      </c>
      <c r="B193" t="s">
        <v>4316</v>
      </c>
      <c r="C193" s="2" t="s">
        <v>251</v>
      </c>
      <c r="E193">
        <v>34988.17</v>
      </c>
      <c r="F193" t="s">
        <v>34</v>
      </c>
      <c r="I193" t="s">
        <v>1590</v>
      </c>
    </row>
    <row r="194" spans="1:9">
      <c r="A194" t="s">
        <v>4315</v>
      </c>
      <c r="B194" t="s">
        <v>4316</v>
      </c>
      <c r="C194" s="2" t="s">
        <v>252</v>
      </c>
      <c r="E194">
        <v>35888.449999999997</v>
      </c>
      <c r="I194" t="s">
        <v>1590</v>
      </c>
    </row>
    <row r="195" spans="1:9">
      <c r="C195" s="2" t="s">
        <v>251</v>
      </c>
      <c r="E195">
        <v>34032.720000000001</v>
      </c>
      <c r="H195">
        <v>0.9</v>
      </c>
      <c r="I195" t="s">
        <v>1590</v>
      </c>
    </row>
    <row r="196" spans="1:9">
      <c r="C196" s="2" t="s">
        <v>249</v>
      </c>
      <c r="E196">
        <v>34124.639999999999</v>
      </c>
      <c r="H196">
        <v>0.89</v>
      </c>
      <c r="I196" t="s">
        <v>1590</v>
      </c>
    </row>
    <row r="197" spans="1:9">
      <c r="A197" t="s">
        <v>4317</v>
      </c>
      <c r="B197" t="s">
        <v>644</v>
      </c>
      <c r="C197" s="2" t="s">
        <v>252</v>
      </c>
      <c r="E197">
        <v>34239.61</v>
      </c>
      <c r="H197">
        <v>0.9</v>
      </c>
      <c r="I197">
        <v>89</v>
      </c>
    </row>
    <row r="198" spans="1:9">
      <c r="A198" t="s">
        <v>4317</v>
      </c>
      <c r="B198" t="s">
        <v>644</v>
      </c>
      <c r="C198" s="2" t="s">
        <v>1702</v>
      </c>
      <c r="E198">
        <v>34245.050000000003</v>
      </c>
      <c r="H198">
        <v>1.06</v>
      </c>
      <c r="I198" t="s">
        <v>4318</v>
      </c>
    </row>
    <row r="199" spans="1:9">
      <c r="C199" s="2" t="s">
        <v>248</v>
      </c>
      <c r="E199">
        <v>34249.24</v>
      </c>
      <c r="H199">
        <v>0.97</v>
      </c>
      <c r="I199" t="s">
        <v>1590</v>
      </c>
    </row>
    <row r="200" spans="1:9">
      <c r="C200" s="2" t="s">
        <v>251</v>
      </c>
      <c r="E200">
        <v>34272.480000000003</v>
      </c>
      <c r="H200">
        <v>0.84</v>
      </c>
      <c r="I200" t="s">
        <v>1590</v>
      </c>
    </row>
    <row r="201" spans="1:9">
      <c r="B201" t="s">
        <v>291</v>
      </c>
      <c r="C201" s="2" t="s">
        <v>250</v>
      </c>
      <c r="E201">
        <v>34299.11</v>
      </c>
      <c r="H201">
        <v>1.01</v>
      </c>
      <c r="I201" t="s">
        <v>1590</v>
      </c>
    </row>
    <row r="202" spans="1:9">
      <c r="A202" t="s">
        <v>4315</v>
      </c>
      <c r="B202" t="s">
        <v>4319</v>
      </c>
      <c r="C202" s="2" t="s">
        <v>249</v>
      </c>
      <c r="E202">
        <v>34358.6</v>
      </c>
      <c r="I202" t="s">
        <v>1590</v>
      </c>
    </row>
    <row r="203" spans="1:9">
      <c r="A203" t="s">
        <v>4315</v>
      </c>
      <c r="B203" t="s">
        <v>4319</v>
      </c>
      <c r="C203" s="2" t="s">
        <v>251</v>
      </c>
      <c r="E203">
        <v>34380.86</v>
      </c>
      <c r="I203" t="s">
        <v>1590</v>
      </c>
    </row>
    <row r="204" spans="1:9">
      <c r="A204" t="s">
        <v>4315</v>
      </c>
      <c r="B204" t="s">
        <v>4319</v>
      </c>
      <c r="C204" s="2" t="s">
        <v>252</v>
      </c>
      <c r="E204">
        <v>35236.06</v>
      </c>
      <c r="H204">
        <v>1.1299999999999999</v>
      </c>
      <c r="I204" t="s">
        <v>1590</v>
      </c>
    </row>
    <row r="205" spans="1:9">
      <c r="A205" t="s">
        <v>4315</v>
      </c>
      <c r="B205" t="s">
        <v>4319</v>
      </c>
      <c r="C205" s="2" t="s">
        <v>1702</v>
      </c>
      <c r="E205">
        <v>36074.74</v>
      </c>
      <c r="I205" t="s">
        <v>1590</v>
      </c>
    </row>
    <row r="206" spans="1:9">
      <c r="C206" s="2" t="s">
        <v>250</v>
      </c>
      <c r="E206">
        <v>34369.050000000003</v>
      </c>
      <c r="H206">
        <v>1.62</v>
      </c>
      <c r="I206" t="s">
        <v>1590</v>
      </c>
    </row>
    <row r="207" spans="1:9">
      <c r="C207" s="2" t="s">
        <v>249</v>
      </c>
      <c r="E207">
        <v>34400.06</v>
      </c>
      <c r="H207">
        <v>1.21</v>
      </c>
      <c r="I207" t="s">
        <v>1590</v>
      </c>
    </row>
    <row r="208" spans="1:9">
      <c r="C208" s="2" t="s">
        <v>251</v>
      </c>
      <c r="E208">
        <v>34482.28</v>
      </c>
      <c r="H208">
        <v>1.21</v>
      </c>
      <c r="I208" t="s">
        <v>1590</v>
      </c>
    </row>
    <row r="209" spans="1:9">
      <c r="C209" s="2" t="s">
        <v>248</v>
      </c>
      <c r="E209">
        <v>34488.22</v>
      </c>
      <c r="H209">
        <v>1.75</v>
      </c>
      <c r="I209" t="s">
        <v>1590</v>
      </c>
    </row>
    <row r="210" spans="1:9">
      <c r="C210" s="2" t="s">
        <v>249</v>
      </c>
      <c r="E210">
        <v>34529.879999999997</v>
      </c>
      <c r="H210">
        <v>0.88</v>
      </c>
      <c r="I210" t="s">
        <v>1590</v>
      </c>
    </row>
    <row r="211" spans="1:9">
      <c r="C211" s="2" t="s">
        <v>250</v>
      </c>
      <c r="E211">
        <v>34545.800000000003</v>
      </c>
      <c r="H211">
        <v>0.83</v>
      </c>
      <c r="I211" t="s">
        <v>1590</v>
      </c>
    </row>
    <row r="212" spans="1:9">
      <c r="C212" s="2" t="s">
        <v>248</v>
      </c>
      <c r="E212">
        <v>34590.089999999997</v>
      </c>
      <c r="H212">
        <v>1.32</v>
      </c>
      <c r="I212" t="s">
        <v>1590</v>
      </c>
    </row>
    <row r="213" spans="1:9">
      <c r="C213" s="2" t="s">
        <v>252</v>
      </c>
      <c r="E213">
        <v>34634.980000000003</v>
      </c>
      <c r="H213">
        <v>1.07</v>
      </c>
      <c r="I213" t="s">
        <v>1590</v>
      </c>
    </row>
    <row r="214" spans="1:9">
      <c r="C214" s="2" t="s">
        <v>251</v>
      </c>
      <c r="E214">
        <v>34663.99</v>
      </c>
      <c r="H214">
        <v>1.1000000000000001</v>
      </c>
      <c r="I214" t="s">
        <v>1590</v>
      </c>
    </row>
    <row r="215" spans="1:9">
      <c r="A215" t="s">
        <v>4320</v>
      </c>
      <c r="B215" t="s">
        <v>4321</v>
      </c>
      <c r="C215" s="2" t="s">
        <v>252</v>
      </c>
      <c r="E215">
        <v>34714.730000000003</v>
      </c>
      <c r="H215">
        <v>1.02</v>
      </c>
      <c r="I215" t="s">
        <v>1590</v>
      </c>
    </row>
    <row r="216" spans="1:9">
      <c r="C216" s="2" t="s">
        <v>248</v>
      </c>
      <c r="E216">
        <v>34752.58</v>
      </c>
      <c r="H216">
        <v>1.33</v>
      </c>
      <c r="I216" t="s">
        <v>1590</v>
      </c>
    </row>
    <row r="217" spans="1:9">
      <c r="C217" s="2" t="s">
        <v>250</v>
      </c>
      <c r="E217">
        <v>34758.54</v>
      </c>
      <c r="H217">
        <v>1.28</v>
      </c>
      <c r="I217" t="s">
        <v>1590</v>
      </c>
    </row>
    <row r="218" spans="1:9">
      <c r="C218" s="2" t="s">
        <v>249</v>
      </c>
      <c r="E218">
        <v>34787.230000000003</v>
      </c>
      <c r="H218">
        <v>1.01</v>
      </c>
      <c r="I218" t="s">
        <v>1590</v>
      </c>
    </row>
    <row r="219" spans="1:9">
      <c r="A219" t="s">
        <v>4322</v>
      </c>
      <c r="B219" t="s">
        <v>4316</v>
      </c>
      <c r="C219" s="2" t="s">
        <v>250</v>
      </c>
      <c r="E219">
        <v>34850.379999999997</v>
      </c>
      <c r="H219">
        <v>0.57999999999999996</v>
      </c>
      <c r="I219" t="s">
        <v>1590</v>
      </c>
    </row>
    <row r="220" spans="1:9">
      <c r="C220" s="2" t="s">
        <v>248</v>
      </c>
      <c r="E220">
        <v>34860.959999999999</v>
      </c>
      <c r="H220">
        <v>0.95</v>
      </c>
      <c r="I220" t="s">
        <v>1590</v>
      </c>
    </row>
    <row r="221" spans="1:9">
      <c r="C221" s="2" t="s">
        <v>249</v>
      </c>
      <c r="E221">
        <v>34880.629999999997</v>
      </c>
      <c r="H221">
        <v>0.91</v>
      </c>
      <c r="I221" t="s">
        <v>1590</v>
      </c>
    </row>
    <row r="222" spans="1:9">
      <c r="C222" s="2" t="s">
        <v>250</v>
      </c>
      <c r="E222">
        <v>34906.89</v>
      </c>
      <c r="H222">
        <v>1.07</v>
      </c>
      <c r="I222" t="s">
        <v>1590</v>
      </c>
    </row>
    <row r="223" spans="1:9">
      <c r="C223" s="2" t="s">
        <v>251</v>
      </c>
      <c r="E223">
        <v>34968.730000000003</v>
      </c>
      <c r="H223">
        <v>1.05</v>
      </c>
      <c r="I223" t="s">
        <v>1590</v>
      </c>
    </row>
    <row r="224" spans="1:9">
      <c r="B224" t="s">
        <v>291</v>
      </c>
      <c r="C224" s="2" t="s">
        <v>249</v>
      </c>
      <c r="E224">
        <v>34982.43</v>
      </c>
      <c r="H224">
        <v>0.9</v>
      </c>
      <c r="I224" t="s">
        <v>1590</v>
      </c>
    </row>
    <row r="225" spans="1:9">
      <c r="C225" s="2" t="s">
        <v>250</v>
      </c>
      <c r="E225">
        <v>35009.99</v>
      </c>
      <c r="H225">
        <v>1.22</v>
      </c>
      <c r="I225" t="s">
        <v>1590</v>
      </c>
    </row>
    <row r="226" spans="1:9">
      <c r="C226" s="2" t="s">
        <v>251</v>
      </c>
      <c r="E226">
        <v>35096.1</v>
      </c>
      <c r="H226">
        <v>1.2</v>
      </c>
      <c r="I226" t="s">
        <v>1590</v>
      </c>
    </row>
    <row r="227" spans="1:9">
      <c r="C227" s="2" t="s">
        <v>249</v>
      </c>
      <c r="E227">
        <v>35117.699999999997</v>
      </c>
      <c r="H227">
        <v>1.2</v>
      </c>
      <c r="I227" t="s">
        <v>1590</v>
      </c>
    </row>
    <row r="228" spans="1:9">
      <c r="C228" s="2" t="s">
        <v>252</v>
      </c>
      <c r="E228">
        <v>35169.58</v>
      </c>
      <c r="H228">
        <v>0.95</v>
      </c>
      <c r="I228" t="s">
        <v>1590</v>
      </c>
    </row>
    <row r="229" spans="1:9">
      <c r="B229" t="s">
        <v>291</v>
      </c>
      <c r="C229" s="2" t="s">
        <v>249</v>
      </c>
      <c r="E229">
        <v>35232.81</v>
      </c>
      <c r="I229" t="s">
        <v>1590</v>
      </c>
    </row>
    <row r="230" spans="1:9">
      <c r="A230" t="s">
        <v>4320</v>
      </c>
      <c r="B230" t="s">
        <v>4323</v>
      </c>
      <c r="C230" s="2" t="s">
        <v>251</v>
      </c>
      <c r="E230">
        <v>35253.1</v>
      </c>
      <c r="H230">
        <v>0.89</v>
      </c>
      <c r="I230" t="s">
        <v>1590</v>
      </c>
    </row>
    <row r="231" spans="1:9">
      <c r="A231" t="s">
        <v>4320</v>
      </c>
      <c r="B231" t="s">
        <v>4323</v>
      </c>
      <c r="C231" s="2" t="s">
        <v>252</v>
      </c>
      <c r="E231">
        <v>35450.47</v>
      </c>
      <c r="H231">
        <v>1.0900000000000001</v>
      </c>
      <c r="I231" t="s">
        <v>1590</v>
      </c>
    </row>
    <row r="232" spans="1:9">
      <c r="B232" t="s">
        <v>291</v>
      </c>
      <c r="C232" s="2" t="s">
        <v>249</v>
      </c>
      <c r="E232">
        <v>35275.160000000003</v>
      </c>
      <c r="H232">
        <v>1.2</v>
      </c>
      <c r="I232" t="s">
        <v>1590</v>
      </c>
    </row>
    <row r="233" spans="1:9">
      <c r="C233" s="2" t="s">
        <v>250</v>
      </c>
      <c r="E233">
        <v>35280.42</v>
      </c>
      <c r="H233">
        <v>0.94</v>
      </c>
      <c r="I233" t="s">
        <v>1590</v>
      </c>
    </row>
    <row r="234" spans="1:9">
      <c r="C234" s="2" t="s">
        <v>251</v>
      </c>
      <c r="E234">
        <v>35298.120000000003</v>
      </c>
      <c r="H234">
        <v>1.0900000000000001</v>
      </c>
      <c r="I234" t="s">
        <v>1590</v>
      </c>
    </row>
    <row r="235" spans="1:9">
      <c r="C235" s="2" t="s">
        <v>250</v>
      </c>
      <c r="E235">
        <v>35308.400000000001</v>
      </c>
      <c r="H235">
        <v>1.04</v>
      </c>
      <c r="I235" t="s">
        <v>1590</v>
      </c>
    </row>
    <row r="236" spans="1:9">
      <c r="C236" s="2" t="s">
        <v>249</v>
      </c>
      <c r="E236">
        <v>35393.379999999997</v>
      </c>
      <c r="H236">
        <v>1.28</v>
      </c>
      <c r="I236" t="s">
        <v>1590</v>
      </c>
    </row>
    <row r="237" spans="1:9">
      <c r="C237" s="2" t="s">
        <v>249</v>
      </c>
      <c r="E237">
        <v>35414.449999999997</v>
      </c>
      <c r="H237">
        <v>1.1000000000000001</v>
      </c>
      <c r="I237" t="s">
        <v>1590</v>
      </c>
    </row>
    <row r="238" spans="1:9">
      <c r="C238" s="2" t="s">
        <v>252</v>
      </c>
      <c r="E238">
        <v>35445.980000000003</v>
      </c>
      <c r="H238">
        <v>1.1100000000000001</v>
      </c>
      <c r="I238" t="s">
        <v>1590</v>
      </c>
    </row>
    <row r="239" spans="1:9">
      <c r="B239" t="s">
        <v>291</v>
      </c>
      <c r="C239" s="2" t="s">
        <v>250</v>
      </c>
      <c r="E239">
        <v>35470.85</v>
      </c>
      <c r="H239">
        <v>1.42</v>
      </c>
      <c r="I239" t="s">
        <v>1590</v>
      </c>
    </row>
    <row r="240" spans="1:9">
      <c r="B240" t="s">
        <v>291</v>
      </c>
      <c r="C240" s="2" t="s">
        <v>248</v>
      </c>
      <c r="E240">
        <v>35482.699999999997</v>
      </c>
      <c r="I240" t="s">
        <v>1590</v>
      </c>
    </row>
    <row r="241" spans="2:9">
      <c r="C241" s="2" t="s">
        <v>250</v>
      </c>
      <c r="E241">
        <v>35494.050000000003</v>
      </c>
      <c r="H241">
        <v>0.83</v>
      </c>
      <c r="I241" t="s">
        <v>1590</v>
      </c>
    </row>
    <row r="242" spans="2:9">
      <c r="C242" s="2" t="s">
        <v>252</v>
      </c>
      <c r="E242">
        <v>35552.32</v>
      </c>
      <c r="H242">
        <v>1.1499999999999999</v>
      </c>
      <c r="I242" t="s">
        <v>1590</v>
      </c>
    </row>
    <row r="243" spans="2:9">
      <c r="C243" s="2" t="s">
        <v>251</v>
      </c>
      <c r="E243">
        <v>35570.480000000003</v>
      </c>
      <c r="H243">
        <v>1.1100000000000001</v>
      </c>
      <c r="I243" t="s">
        <v>1590</v>
      </c>
    </row>
    <row r="244" spans="2:9">
      <c r="C244" s="2" t="s">
        <v>248</v>
      </c>
      <c r="E244">
        <v>35581.78</v>
      </c>
      <c r="H244">
        <v>1.8</v>
      </c>
      <c r="I244" t="s">
        <v>1590</v>
      </c>
    </row>
    <row r="245" spans="2:9">
      <c r="C245" s="2" t="s">
        <v>250</v>
      </c>
      <c r="E245">
        <v>35628.33</v>
      </c>
      <c r="H245">
        <v>1.1299999999999999</v>
      </c>
      <c r="I245" t="s">
        <v>1590</v>
      </c>
    </row>
    <row r="246" spans="2:9">
      <c r="B246" t="s">
        <v>291</v>
      </c>
      <c r="C246" s="2" t="s">
        <v>249</v>
      </c>
      <c r="E246">
        <v>35780.1</v>
      </c>
      <c r="I246" t="s">
        <v>1590</v>
      </c>
    </row>
    <row r="247" spans="2:9">
      <c r="B247" t="s">
        <v>291</v>
      </c>
      <c r="C247" s="2" t="s">
        <v>248</v>
      </c>
      <c r="E247">
        <v>35860.639999999999</v>
      </c>
      <c r="H247">
        <v>2.2000000000000002</v>
      </c>
      <c r="I247" t="s">
        <v>1590</v>
      </c>
    </row>
    <row r="248" spans="2:9">
      <c r="C248" s="2" t="s">
        <v>250</v>
      </c>
      <c r="E248">
        <v>35875.99</v>
      </c>
      <c r="H248">
        <v>1.78</v>
      </c>
      <c r="I248" t="s">
        <v>1590</v>
      </c>
    </row>
    <row r="249" spans="2:9">
      <c r="C249" s="2" t="s">
        <v>251</v>
      </c>
      <c r="E249">
        <v>35907.050000000003</v>
      </c>
      <c r="H249">
        <v>1.19</v>
      </c>
      <c r="I249" t="s">
        <v>1590</v>
      </c>
    </row>
    <row r="250" spans="2:9">
      <c r="C250" s="2" t="s">
        <v>251</v>
      </c>
      <c r="E250">
        <v>35931.75</v>
      </c>
      <c r="H250">
        <v>1.28</v>
      </c>
      <c r="I250" t="s">
        <v>1590</v>
      </c>
    </row>
    <row r="251" spans="2:9">
      <c r="B251" t="s">
        <v>291</v>
      </c>
      <c r="C251" s="2" t="s">
        <v>251</v>
      </c>
      <c r="E251">
        <v>35956.720000000001</v>
      </c>
      <c r="I251" t="s">
        <v>1590</v>
      </c>
    </row>
    <row r="252" spans="2:9">
      <c r="B252" t="s">
        <v>291</v>
      </c>
      <c r="C252" s="2" t="s">
        <v>251</v>
      </c>
      <c r="E252">
        <v>35999.06</v>
      </c>
      <c r="H252">
        <v>1.03</v>
      </c>
      <c r="I252" t="s">
        <v>1590</v>
      </c>
    </row>
    <row r="253" spans="2:9">
      <c r="C253" s="2" t="s">
        <v>248</v>
      </c>
      <c r="E253">
        <v>36027.410000000003</v>
      </c>
      <c r="H253">
        <v>2.17</v>
      </c>
      <c r="I253" t="s">
        <v>1590</v>
      </c>
    </row>
    <row r="254" spans="2:9">
      <c r="C254" s="2" t="s">
        <v>252</v>
      </c>
      <c r="E254">
        <v>36034.6</v>
      </c>
      <c r="H254">
        <v>1.1000000000000001</v>
      </c>
      <c r="I254" t="s">
        <v>1590</v>
      </c>
    </row>
    <row r="255" spans="2:9">
      <c r="C255" s="2" t="s">
        <v>250</v>
      </c>
      <c r="E255">
        <v>36065.910000000003</v>
      </c>
      <c r="H255">
        <v>0.96</v>
      </c>
      <c r="I255" t="s">
        <v>1590</v>
      </c>
    </row>
    <row r="256" spans="2:9">
      <c r="B256" t="s">
        <v>291</v>
      </c>
      <c r="C256" s="2" t="s">
        <v>3998</v>
      </c>
      <c r="E256">
        <v>36081.089999999997</v>
      </c>
      <c r="I256" t="s">
        <v>1590</v>
      </c>
    </row>
    <row r="257" spans="2:9">
      <c r="C257" s="2" t="s">
        <v>249</v>
      </c>
      <c r="E257">
        <v>36109.65</v>
      </c>
      <c r="H257">
        <v>1.28</v>
      </c>
      <c r="I257" t="s">
        <v>1590</v>
      </c>
    </row>
    <row r="258" spans="2:9">
      <c r="C258" s="2" t="s">
        <v>1702</v>
      </c>
      <c r="E258">
        <v>36159.9</v>
      </c>
      <c r="H258">
        <v>1.28</v>
      </c>
      <c r="I258" t="s">
        <v>1590</v>
      </c>
    </row>
    <row r="259" spans="2:9">
      <c r="C259" s="2" t="s">
        <v>250</v>
      </c>
      <c r="E259">
        <v>36172.800000000003</v>
      </c>
      <c r="H259">
        <v>1.24</v>
      </c>
      <c r="I259" t="s">
        <v>1590</v>
      </c>
    </row>
    <row r="260" spans="2:9">
      <c r="C260" s="2" t="s">
        <v>251</v>
      </c>
      <c r="E260">
        <v>36220.33</v>
      </c>
      <c r="H260">
        <v>1.1299999999999999</v>
      </c>
      <c r="I260" t="s">
        <v>1590</v>
      </c>
    </row>
    <row r="261" spans="2:9">
      <c r="C261" s="2" t="s">
        <v>249</v>
      </c>
      <c r="E261">
        <v>36258.93</v>
      </c>
      <c r="H261">
        <v>1.4</v>
      </c>
      <c r="I261" t="s">
        <v>1590</v>
      </c>
    </row>
    <row r="262" spans="2:9">
      <c r="C262" s="2" t="s">
        <v>252</v>
      </c>
      <c r="E262">
        <v>36265.279999999999</v>
      </c>
      <c r="H262">
        <v>1.22</v>
      </c>
      <c r="I262" t="s">
        <v>1590</v>
      </c>
    </row>
    <row r="263" spans="2:9">
      <c r="C263" s="2" t="s">
        <v>251</v>
      </c>
      <c r="E263">
        <v>36292.959999999999</v>
      </c>
      <c r="H263">
        <v>1.23</v>
      </c>
      <c r="I263" t="s">
        <v>1590</v>
      </c>
    </row>
    <row r="264" spans="2:9">
      <c r="B264" t="s">
        <v>291</v>
      </c>
      <c r="C264" s="2" t="s">
        <v>250</v>
      </c>
      <c r="E264">
        <v>36333.08</v>
      </c>
      <c r="H264">
        <v>1.57</v>
      </c>
      <c r="I264" t="s">
        <v>1590</v>
      </c>
    </row>
    <row r="265" spans="2:9">
      <c r="B265" t="s">
        <v>291</v>
      </c>
      <c r="C265" s="2" t="s">
        <v>248</v>
      </c>
      <c r="E265">
        <v>36358.959999999999</v>
      </c>
      <c r="H265">
        <v>0.4</v>
      </c>
      <c r="I265" t="s">
        <v>1590</v>
      </c>
    </row>
    <row r="266" spans="2:9">
      <c r="C266" s="2" t="s">
        <v>252</v>
      </c>
      <c r="E266">
        <v>36400.720000000001</v>
      </c>
      <c r="H266">
        <v>1.18</v>
      </c>
      <c r="I266" t="s">
        <v>1590</v>
      </c>
    </row>
    <row r="267" spans="2:9">
      <c r="B267" t="s">
        <v>291</v>
      </c>
      <c r="C267" s="2" t="s">
        <v>249</v>
      </c>
      <c r="E267">
        <v>36447.35</v>
      </c>
      <c r="H267">
        <v>0.9</v>
      </c>
      <c r="I267" t="s">
        <v>1590</v>
      </c>
    </row>
    <row r="268" spans="2:9">
      <c r="B268" t="s">
        <v>291</v>
      </c>
      <c r="C268" s="2" t="s">
        <v>251</v>
      </c>
      <c r="E268">
        <v>36454.46</v>
      </c>
      <c r="I268" t="s">
        <v>1590</v>
      </c>
    </row>
    <row r="269" spans="2:9">
      <c r="B269" t="s">
        <v>291</v>
      </c>
      <c r="C269" s="2" t="s">
        <v>248</v>
      </c>
      <c r="E269">
        <v>36495.279999999999</v>
      </c>
      <c r="H269">
        <v>0.43</v>
      </c>
      <c r="I269" t="s">
        <v>1590</v>
      </c>
    </row>
    <row r="270" spans="2:9">
      <c r="B270" t="s">
        <v>291</v>
      </c>
      <c r="C270" s="2" t="s">
        <v>250</v>
      </c>
      <c r="E270">
        <v>36678.58</v>
      </c>
      <c r="H270">
        <v>0.91</v>
      </c>
      <c r="I270" t="s">
        <v>1590</v>
      </c>
    </row>
    <row r="271" spans="2:9">
      <c r="B271" t="s">
        <v>291</v>
      </c>
      <c r="C271" s="2" t="s">
        <v>250</v>
      </c>
      <c r="E271">
        <v>36722.379999999997</v>
      </c>
      <c r="H271">
        <v>1.0760000000000001</v>
      </c>
      <c r="I271" t="s">
        <v>1590</v>
      </c>
    </row>
    <row r="272" spans="2:9">
      <c r="B272" t="s">
        <v>291</v>
      </c>
      <c r="C272" s="2" t="s">
        <v>251</v>
      </c>
      <c r="E272">
        <v>36723.269999999997</v>
      </c>
      <c r="H272">
        <v>1.21</v>
      </c>
      <c r="I272" t="s">
        <v>1590</v>
      </c>
    </row>
    <row r="273" spans="2:9">
      <c r="C273" s="2" t="s">
        <v>251</v>
      </c>
      <c r="E273">
        <v>36792.36</v>
      </c>
      <c r="H273">
        <v>0.89</v>
      </c>
      <c r="I273" t="s">
        <v>1590</v>
      </c>
    </row>
    <row r="274" spans="2:9">
      <c r="C274" s="2" t="s">
        <v>252</v>
      </c>
      <c r="E274">
        <v>36822.769999999997</v>
      </c>
      <c r="H274">
        <v>0.9</v>
      </c>
      <c r="I274" t="s">
        <v>1590</v>
      </c>
    </row>
    <row r="275" spans="2:9">
      <c r="C275" s="2" t="s">
        <v>248</v>
      </c>
      <c r="E275">
        <v>36840.699999999997</v>
      </c>
      <c r="H275">
        <v>2.02</v>
      </c>
      <c r="I275" t="s">
        <v>1590</v>
      </c>
    </row>
    <row r="276" spans="2:9">
      <c r="C276" s="2" t="s">
        <v>249</v>
      </c>
      <c r="E276">
        <v>36851.32</v>
      </c>
      <c r="H276">
        <v>1.21</v>
      </c>
      <c r="I276" t="s">
        <v>1590</v>
      </c>
    </row>
    <row r="277" spans="2:9">
      <c r="C277" s="2" t="s">
        <v>250</v>
      </c>
      <c r="E277">
        <v>36853.58</v>
      </c>
      <c r="H277">
        <v>1.1299999999999999</v>
      </c>
      <c r="I277" t="s">
        <v>1590</v>
      </c>
    </row>
    <row r="278" spans="2:9">
      <c r="B278" t="s">
        <v>291</v>
      </c>
      <c r="C278" s="2" t="s">
        <v>248</v>
      </c>
      <c r="E278">
        <v>36896.629999999997</v>
      </c>
      <c r="H278">
        <v>1.7</v>
      </c>
      <c r="I278" t="s">
        <v>1590</v>
      </c>
    </row>
    <row r="279" spans="2:9">
      <c r="B279" t="s">
        <v>291</v>
      </c>
      <c r="C279" s="2" t="s">
        <v>249</v>
      </c>
      <c r="E279">
        <v>37086.699999999997</v>
      </c>
      <c r="H279">
        <v>1.2</v>
      </c>
      <c r="I279" t="s">
        <v>1590</v>
      </c>
    </row>
    <row r="280" spans="2:9">
      <c r="C280" s="2" t="s">
        <v>250</v>
      </c>
      <c r="E280">
        <v>37092.15</v>
      </c>
      <c r="H280">
        <v>0.66</v>
      </c>
      <c r="I280" t="s">
        <v>1590</v>
      </c>
    </row>
    <row r="281" spans="2:9">
      <c r="B281" t="s">
        <v>291</v>
      </c>
      <c r="C281" s="2" t="s">
        <v>249</v>
      </c>
      <c r="E281">
        <v>37245.339999999997</v>
      </c>
      <c r="H281">
        <v>0.98</v>
      </c>
      <c r="I281" t="s">
        <v>1590</v>
      </c>
    </row>
    <row r="282" spans="2:9">
      <c r="C282" s="2" t="s">
        <v>250</v>
      </c>
      <c r="E282">
        <v>37248.61</v>
      </c>
      <c r="H282">
        <v>1.38</v>
      </c>
      <c r="I282" t="s">
        <v>1590</v>
      </c>
    </row>
    <row r="283" spans="2:9">
      <c r="B283" t="s">
        <v>291</v>
      </c>
      <c r="C283" s="2" t="s">
        <v>250</v>
      </c>
      <c r="E283">
        <v>37253.519999999997</v>
      </c>
      <c r="H283">
        <v>1.2</v>
      </c>
      <c r="I283" t="s">
        <v>1590</v>
      </c>
    </row>
    <row r="284" spans="2:9">
      <c r="B284" t="s">
        <v>291</v>
      </c>
      <c r="C284" s="2" t="s">
        <v>248</v>
      </c>
      <c r="E284">
        <v>37475.300000000003</v>
      </c>
      <c r="H284">
        <v>0.76</v>
      </c>
      <c r="I284" t="s">
        <v>1590</v>
      </c>
    </row>
    <row r="285" spans="2:9">
      <c r="C285" s="2" t="s">
        <v>249</v>
      </c>
      <c r="E285">
        <v>37544.15</v>
      </c>
      <c r="H285">
        <v>1.06</v>
      </c>
      <c r="I285" t="s">
        <v>1590</v>
      </c>
    </row>
    <row r="286" spans="2:9">
      <c r="C286" s="2" t="s">
        <v>250</v>
      </c>
      <c r="E286">
        <v>37612.910000000003</v>
      </c>
      <c r="H286">
        <v>1.43</v>
      </c>
      <c r="I286" t="s">
        <v>1590</v>
      </c>
    </row>
    <row r="287" spans="2:9">
      <c r="C287" s="2" t="s">
        <v>248</v>
      </c>
      <c r="E287">
        <v>37659.480000000003</v>
      </c>
      <c r="H287">
        <v>0.91</v>
      </c>
      <c r="I287" t="s">
        <v>1590</v>
      </c>
    </row>
    <row r="288" spans="2:9">
      <c r="B288" t="s">
        <v>291</v>
      </c>
      <c r="C288" s="2" t="s">
        <v>251</v>
      </c>
      <c r="E288">
        <v>37673.94</v>
      </c>
      <c r="H288">
        <v>1.29</v>
      </c>
      <c r="I288" t="s">
        <v>1590</v>
      </c>
    </row>
    <row r="289" spans="2:9">
      <c r="B289" t="s">
        <v>291</v>
      </c>
      <c r="C289" s="2" t="s">
        <v>249</v>
      </c>
      <c r="E289">
        <v>37731.589999999997</v>
      </c>
      <c r="H289">
        <v>1.1499999999999999</v>
      </c>
      <c r="I289" t="s">
        <v>1590</v>
      </c>
    </row>
    <row r="290" spans="2:9">
      <c r="B290" t="s">
        <v>291</v>
      </c>
      <c r="C290" s="2" t="s">
        <v>249</v>
      </c>
      <c r="E290">
        <v>37771.53</v>
      </c>
      <c r="H290">
        <v>0.73299999999999998</v>
      </c>
      <c r="I290" t="s">
        <v>1590</v>
      </c>
    </row>
    <row r="291" spans="2:9">
      <c r="B291" t="s">
        <v>291</v>
      </c>
      <c r="C291" s="2" t="s">
        <v>250</v>
      </c>
      <c r="E291">
        <v>37787.040000000001</v>
      </c>
      <c r="H291">
        <v>0.64800000000000002</v>
      </c>
      <c r="I291" t="s">
        <v>1590</v>
      </c>
    </row>
    <row r="292" spans="2:9">
      <c r="C292" s="2" t="s">
        <v>251</v>
      </c>
      <c r="E292">
        <v>37833.78</v>
      </c>
      <c r="H292">
        <v>0.9</v>
      </c>
      <c r="I292" t="s">
        <v>1590</v>
      </c>
    </row>
    <row r="293" spans="2:9">
      <c r="B293" t="s">
        <v>291</v>
      </c>
      <c r="C293" s="2" t="s">
        <v>251</v>
      </c>
      <c r="E293">
        <v>37842.769999999997</v>
      </c>
      <c r="H293">
        <v>1</v>
      </c>
      <c r="I293" t="s">
        <v>1590</v>
      </c>
    </row>
    <row r="294" spans="2:9">
      <c r="C294" s="2" t="s">
        <v>249</v>
      </c>
      <c r="E294">
        <v>37855.75</v>
      </c>
      <c r="H294">
        <v>1.28</v>
      </c>
      <c r="I294" t="s">
        <v>1590</v>
      </c>
    </row>
    <row r="295" spans="2:9">
      <c r="C295" s="2" t="s">
        <v>249</v>
      </c>
      <c r="E295">
        <v>37903.24</v>
      </c>
      <c r="H295">
        <v>0.93</v>
      </c>
      <c r="I295" t="s">
        <v>1590</v>
      </c>
    </row>
    <row r="296" spans="2:9">
      <c r="B296" t="s">
        <v>291</v>
      </c>
      <c r="C296" s="2" t="s">
        <v>249</v>
      </c>
      <c r="E296">
        <v>37961.339999999997</v>
      </c>
      <c r="H296">
        <v>1.1399999999999999</v>
      </c>
      <c r="I296" t="s">
        <v>1590</v>
      </c>
    </row>
    <row r="297" spans="2:9">
      <c r="B297" t="s">
        <v>291</v>
      </c>
      <c r="C297" s="2" t="s">
        <v>251</v>
      </c>
      <c r="E297">
        <v>37982.68</v>
      </c>
      <c r="H297">
        <v>1.04</v>
      </c>
      <c r="I297" t="s">
        <v>1590</v>
      </c>
    </row>
    <row r="298" spans="2:9">
      <c r="B298" t="s">
        <v>291</v>
      </c>
      <c r="C298" s="2" t="s">
        <v>251</v>
      </c>
      <c r="E298">
        <v>38050.57</v>
      </c>
      <c r="H298">
        <v>1.04</v>
      </c>
      <c r="I298" t="s">
        <v>1590</v>
      </c>
    </row>
    <row r="299" spans="2:9">
      <c r="B299" t="s">
        <v>291</v>
      </c>
      <c r="C299" s="2" t="s">
        <v>250</v>
      </c>
      <c r="E299">
        <v>38061.57</v>
      </c>
      <c r="H299">
        <v>1.33</v>
      </c>
      <c r="I299" t="s">
        <v>1590</v>
      </c>
    </row>
    <row r="300" spans="2:9">
      <c r="C300" s="2" t="s">
        <v>252</v>
      </c>
      <c r="E300">
        <v>38172.800000000003</v>
      </c>
      <c r="H300">
        <v>0.93</v>
      </c>
      <c r="I300" t="s">
        <v>1590</v>
      </c>
    </row>
    <row r="301" spans="2:9">
      <c r="C301" s="2" t="s">
        <v>251</v>
      </c>
      <c r="E301">
        <v>38178</v>
      </c>
      <c r="H301">
        <v>0.99</v>
      </c>
      <c r="I301" t="s">
        <v>1590</v>
      </c>
    </row>
    <row r="302" spans="2:9">
      <c r="B302" t="s">
        <v>291</v>
      </c>
      <c r="C302" s="2" t="s">
        <v>249</v>
      </c>
      <c r="E302">
        <v>38264.31</v>
      </c>
      <c r="H302">
        <v>0.79</v>
      </c>
      <c r="I302" t="s">
        <v>1590</v>
      </c>
    </row>
    <row r="303" spans="2:9">
      <c r="C303" s="2" t="s">
        <v>249</v>
      </c>
      <c r="E303">
        <v>38378.9</v>
      </c>
      <c r="H303">
        <v>1.06</v>
      </c>
      <c r="I303" t="s">
        <v>1590</v>
      </c>
    </row>
    <row r="304" spans="2:9">
      <c r="C304" s="2" t="s">
        <v>251</v>
      </c>
      <c r="E304">
        <v>38391.75</v>
      </c>
      <c r="H304">
        <v>1.04</v>
      </c>
      <c r="I304" t="s">
        <v>1590</v>
      </c>
    </row>
    <row r="305" spans="1:10">
      <c r="C305" s="2" t="s">
        <v>250</v>
      </c>
      <c r="E305">
        <v>38478.839999999997</v>
      </c>
      <c r="H305">
        <v>0.9</v>
      </c>
      <c r="I305" t="s">
        <v>1590</v>
      </c>
    </row>
    <row r="306" spans="1:10">
      <c r="C306" s="2" t="s">
        <v>252</v>
      </c>
      <c r="E306">
        <v>38755.72</v>
      </c>
      <c r="I306" t="s">
        <v>1590</v>
      </c>
    </row>
    <row r="307" spans="1:10">
      <c r="C307" s="2" t="s">
        <v>248</v>
      </c>
      <c r="E307">
        <v>38921.15</v>
      </c>
      <c r="H307">
        <v>0.22</v>
      </c>
      <c r="I307" t="s">
        <v>1590</v>
      </c>
    </row>
    <row r="308" spans="1:10">
      <c r="C308" s="2" t="s">
        <v>251</v>
      </c>
      <c r="E308">
        <v>38991.9</v>
      </c>
      <c r="H308">
        <v>1.03</v>
      </c>
      <c r="I308" t="s">
        <v>1590</v>
      </c>
    </row>
    <row r="309" spans="1:10">
      <c r="C309" s="2" t="s">
        <v>250</v>
      </c>
      <c r="E309">
        <v>39110.339999999997</v>
      </c>
      <c r="H309">
        <v>0.87</v>
      </c>
      <c r="I309" t="s">
        <v>1590</v>
      </c>
    </row>
    <row r="310" spans="1:10">
      <c r="B310" t="s">
        <v>291</v>
      </c>
      <c r="C310" s="2" t="s">
        <v>249</v>
      </c>
      <c r="E310">
        <v>39179.11</v>
      </c>
      <c r="H310">
        <v>1.04</v>
      </c>
      <c r="I310" t="s">
        <v>1590</v>
      </c>
    </row>
    <row r="311" spans="1:10">
      <c r="B311" t="s">
        <v>291</v>
      </c>
      <c r="C311" s="2" t="s">
        <v>251</v>
      </c>
      <c r="E311">
        <v>39350.5</v>
      </c>
      <c r="I311" t="s">
        <v>1590</v>
      </c>
    </row>
    <row r="312" spans="1:10">
      <c r="C312" s="2" t="s">
        <v>252</v>
      </c>
      <c r="E312">
        <v>39391.230000000003</v>
      </c>
      <c r="H312">
        <v>1.04</v>
      </c>
      <c r="I312" t="s">
        <v>1590</v>
      </c>
    </row>
    <row r="313" spans="1:10">
      <c r="C313" s="2" t="s">
        <v>252</v>
      </c>
      <c r="E313">
        <v>40084.07</v>
      </c>
      <c r="H313">
        <v>1.25</v>
      </c>
      <c r="I313" t="s">
        <v>1590</v>
      </c>
    </row>
    <row r="314" spans="1:10">
      <c r="C314" s="2" t="s">
        <v>248</v>
      </c>
      <c r="E314">
        <v>40243.01</v>
      </c>
      <c r="H314">
        <v>2.2400000000000002</v>
      </c>
      <c r="I314" t="s">
        <v>1590</v>
      </c>
    </row>
    <row r="315" spans="1:10">
      <c r="B315" t="s">
        <v>291</v>
      </c>
      <c r="C315" s="2" t="s">
        <v>251</v>
      </c>
      <c r="E315">
        <v>40910.11</v>
      </c>
      <c r="H315">
        <v>1.1499999999999999</v>
      </c>
      <c r="I315" t="s">
        <v>1590</v>
      </c>
    </row>
    <row r="316" spans="1:10">
      <c r="A316" t="s">
        <v>4324</v>
      </c>
      <c r="B316" t="s">
        <v>211</v>
      </c>
      <c r="C316" s="2" t="s">
        <v>250</v>
      </c>
      <c r="E316">
        <v>44978.6</v>
      </c>
      <c r="I316" t="s">
        <v>1590</v>
      </c>
    </row>
    <row r="317" spans="1:10">
      <c r="A317" t="s">
        <v>4324</v>
      </c>
      <c r="B317" t="s">
        <v>211</v>
      </c>
      <c r="C317" s="2" t="s">
        <v>248</v>
      </c>
      <c r="E317">
        <v>44978.9</v>
      </c>
      <c r="F317" t="s">
        <v>34</v>
      </c>
      <c r="I317" t="s">
        <v>1590</v>
      </c>
    </row>
    <row r="318" spans="1:10">
      <c r="A318" t="s">
        <v>4325</v>
      </c>
      <c r="B318" t="s">
        <v>202</v>
      </c>
      <c r="C318" s="2" t="s">
        <v>203</v>
      </c>
      <c r="E318">
        <v>44981</v>
      </c>
      <c r="G318">
        <v>5</v>
      </c>
      <c r="I318" t="s">
        <v>1590</v>
      </c>
      <c r="J318" t="s">
        <v>4326</v>
      </c>
    </row>
    <row r="319" spans="1:10">
      <c r="A319" t="s">
        <v>4327</v>
      </c>
      <c r="B319" t="s">
        <v>211</v>
      </c>
      <c r="C319" s="2" t="s">
        <v>250</v>
      </c>
      <c r="E319">
        <v>47675</v>
      </c>
      <c r="I319" t="s">
        <v>1590</v>
      </c>
    </row>
    <row r="320" spans="1:10">
      <c r="A320" t="s">
        <v>4327</v>
      </c>
      <c r="B320" t="s">
        <v>211</v>
      </c>
      <c r="E320">
        <v>47695</v>
      </c>
      <c r="I320" t="s">
        <v>1590</v>
      </c>
    </row>
    <row r="321" spans="1:9">
      <c r="A321" t="s">
        <v>4328</v>
      </c>
      <c r="B321" t="s">
        <v>211</v>
      </c>
      <c r="E321">
        <v>49168.7</v>
      </c>
      <c r="I321" t="s">
        <v>1590</v>
      </c>
    </row>
    <row r="322" spans="1:9">
      <c r="A322" t="s">
        <v>4328</v>
      </c>
      <c r="B322" t="s">
        <v>211</v>
      </c>
      <c r="C322" s="2" t="s">
        <v>250</v>
      </c>
      <c r="E322">
        <v>49176.5</v>
      </c>
      <c r="I322" t="s">
        <v>1590</v>
      </c>
    </row>
    <row r="323" spans="1:9">
      <c r="A323" t="s">
        <v>4329</v>
      </c>
      <c r="B323" t="s">
        <v>211</v>
      </c>
      <c r="E323">
        <v>50026.2</v>
      </c>
      <c r="I323" t="s">
        <v>1590</v>
      </c>
    </row>
    <row r="324" spans="1:9">
      <c r="A324" t="s">
        <v>4329</v>
      </c>
      <c r="B324" t="s">
        <v>211</v>
      </c>
      <c r="C324" s="2" t="s">
        <v>250</v>
      </c>
      <c r="E324">
        <v>50030.3</v>
      </c>
      <c r="I324" t="s">
        <v>1590</v>
      </c>
    </row>
    <row r="325" spans="1:9">
      <c r="A325" t="s">
        <v>4330</v>
      </c>
      <c r="B325" t="s">
        <v>211</v>
      </c>
      <c r="C325" s="2" t="s">
        <v>250</v>
      </c>
      <c r="E325">
        <v>50591.4</v>
      </c>
      <c r="I325" t="s">
        <v>1590</v>
      </c>
    </row>
    <row r="326" spans="1:9">
      <c r="A326" t="s">
        <v>4330</v>
      </c>
      <c r="B326" t="s">
        <v>211</v>
      </c>
      <c r="E326">
        <v>50593.5</v>
      </c>
      <c r="I326" t="s">
        <v>1590</v>
      </c>
    </row>
    <row r="327" spans="1:9">
      <c r="A327" t="s">
        <v>4331</v>
      </c>
      <c r="B327" t="s">
        <v>211</v>
      </c>
      <c r="C327" s="2" t="s">
        <v>250</v>
      </c>
      <c r="E327">
        <v>50968.3</v>
      </c>
      <c r="I327" t="s">
        <v>1590</v>
      </c>
    </row>
    <row r="328" spans="1:9">
      <c r="A328" t="s">
        <v>4331</v>
      </c>
      <c r="B328" t="s">
        <v>211</v>
      </c>
      <c r="E328">
        <v>50969.599999999999</v>
      </c>
      <c r="I328" t="s">
        <v>1590</v>
      </c>
    </row>
    <row r="329" spans="1:9">
      <c r="A329" t="s">
        <v>4332</v>
      </c>
      <c r="B329" t="s">
        <v>211</v>
      </c>
      <c r="E329">
        <v>51238.7</v>
      </c>
      <c r="I329" t="s">
        <v>1590</v>
      </c>
    </row>
    <row r="330" spans="1:9">
      <c r="A330" t="s">
        <v>4332</v>
      </c>
      <c r="B330" t="s">
        <v>211</v>
      </c>
      <c r="C330" s="2" t="s">
        <v>250</v>
      </c>
      <c r="E330">
        <v>51242.2</v>
      </c>
      <c r="I330" t="s">
        <v>1590</v>
      </c>
    </row>
    <row r="331" spans="1:9">
      <c r="A331" t="s">
        <v>4333</v>
      </c>
      <c r="B331" t="s">
        <v>211</v>
      </c>
      <c r="E331">
        <v>51432.2</v>
      </c>
      <c r="I331" t="s">
        <v>1590</v>
      </c>
    </row>
    <row r="332" spans="1:9">
      <c r="A332" t="s">
        <v>4333</v>
      </c>
      <c r="B332" t="s">
        <v>211</v>
      </c>
      <c r="C332" s="2" t="s">
        <v>250</v>
      </c>
      <c r="E332">
        <v>51441.599999999999</v>
      </c>
      <c r="I332" t="s">
        <v>1590</v>
      </c>
    </row>
    <row r="333" spans="1:9">
      <c r="A333" t="s">
        <v>4334</v>
      </c>
      <c r="B333" t="s">
        <v>211</v>
      </c>
      <c r="C333" s="2" t="s">
        <v>2783</v>
      </c>
      <c r="E333">
        <v>51591.199999999997</v>
      </c>
      <c r="I333" t="s">
        <v>1590</v>
      </c>
    </row>
    <row r="334" spans="1:9">
      <c r="A334" t="s">
        <v>4335</v>
      </c>
      <c r="B334" t="s">
        <v>211</v>
      </c>
      <c r="C334" s="2" t="s">
        <v>250</v>
      </c>
      <c r="E334">
        <v>51708.5</v>
      </c>
      <c r="I334" t="s">
        <v>1590</v>
      </c>
    </row>
    <row r="335" spans="1:9">
      <c r="A335" t="s">
        <v>4335</v>
      </c>
      <c r="B335" t="s">
        <v>211</v>
      </c>
      <c r="E335">
        <v>51710.2</v>
      </c>
      <c r="I335" t="s">
        <v>1590</v>
      </c>
    </row>
    <row r="336" spans="1:9">
      <c r="A336" t="s">
        <v>4336</v>
      </c>
      <c r="B336" t="s">
        <v>211</v>
      </c>
      <c r="C336" s="2" t="s">
        <v>250</v>
      </c>
      <c r="E336">
        <v>51800.3</v>
      </c>
      <c r="I336" t="s">
        <v>1590</v>
      </c>
    </row>
    <row r="337" spans="1:9">
      <c r="A337" t="s">
        <v>4336</v>
      </c>
      <c r="B337" t="s">
        <v>211</v>
      </c>
      <c r="E337">
        <v>51801.5</v>
      </c>
      <c r="I337" t="s">
        <v>1590</v>
      </c>
    </row>
    <row r="338" spans="1:9">
      <c r="A338" t="s">
        <v>4337</v>
      </c>
      <c r="B338" t="s">
        <v>211</v>
      </c>
      <c r="C338" s="2" t="s">
        <v>2783</v>
      </c>
      <c r="E338">
        <v>51874.1</v>
      </c>
      <c r="I338" t="s">
        <v>1590</v>
      </c>
    </row>
    <row r="339" spans="1:9">
      <c r="A339" t="s">
        <v>4338</v>
      </c>
      <c r="B339" t="s">
        <v>211</v>
      </c>
      <c r="C339" s="2" t="s">
        <v>2783</v>
      </c>
      <c r="E339">
        <v>51939.199999999997</v>
      </c>
      <c r="I339" t="s">
        <v>1590</v>
      </c>
    </row>
    <row r="340" spans="1:9">
      <c r="A340" t="s">
        <v>4339</v>
      </c>
      <c r="B340" t="s">
        <v>211</v>
      </c>
      <c r="C340" s="2" t="s">
        <v>2783</v>
      </c>
      <c r="E340">
        <v>51989</v>
      </c>
      <c r="I340" t="s">
        <v>1590</v>
      </c>
    </row>
    <row r="341" spans="1:9">
      <c r="A341" t="s">
        <v>4340</v>
      </c>
      <c r="B341" t="s">
        <v>211</v>
      </c>
      <c r="C341" s="2" t="s">
        <v>2783</v>
      </c>
      <c r="E341">
        <v>52030.400000000001</v>
      </c>
      <c r="I341" t="s">
        <v>1590</v>
      </c>
    </row>
    <row r="342" spans="1:9">
      <c r="A342" t="s">
        <v>4341</v>
      </c>
      <c r="B342" t="s">
        <v>211</v>
      </c>
      <c r="E342">
        <v>52066.7</v>
      </c>
      <c r="I342" t="s">
        <v>1590</v>
      </c>
    </row>
    <row r="343" spans="1:9">
      <c r="A343" t="s">
        <v>4341</v>
      </c>
      <c r="B343" t="s">
        <v>211</v>
      </c>
      <c r="C343" s="2" t="s">
        <v>250</v>
      </c>
      <c r="E343">
        <v>52069.8</v>
      </c>
      <c r="I343" t="s">
        <v>1590</v>
      </c>
    </row>
    <row r="344" spans="1:9">
      <c r="A344" t="s">
        <v>4342</v>
      </c>
      <c r="B344" t="s">
        <v>202</v>
      </c>
      <c r="C344" s="2" t="s">
        <v>203</v>
      </c>
      <c r="E344">
        <v>52376</v>
      </c>
      <c r="I344" t="s">
        <v>1590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E23C-1823-492F-B588-8D7DDB6EB7B5}">
  <dimension ref="A1:J334"/>
  <sheetViews>
    <sheetView workbookViewId="0">
      <selection sqref="A1:J1048576"/>
    </sheetView>
  </sheetViews>
  <sheetFormatPr defaultRowHeight="15"/>
  <cols>
    <col min="1" max="1" width="21.42578125" bestFit="1" customWidth="1"/>
    <col min="2" max="2" width="6.28515625" bestFit="1" customWidth="1"/>
    <col min="3" max="3" width="5.71093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19.42578125" bestFit="1" customWidth="1"/>
    <col min="10" max="10" width="19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4343</v>
      </c>
      <c r="B2" t="s">
        <v>13</v>
      </c>
      <c r="C2">
        <v>2</v>
      </c>
      <c r="E2">
        <v>0</v>
      </c>
      <c r="G2">
        <v>0</v>
      </c>
      <c r="H2">
        <v>0.69599999999999995</v>
      </c>
      <c r="I2">
        <v>90</v>
      </c>
      <c r="J2" t="s">
        <v>4344</v>
      </c>
    </row>
    <row r="3" spans="1:10">
      <c r="A3" t="s">
        <v>4343</v>
      </c>
      <c r="B3" t="s">
        <v>13</v>
      </c>
      <c r="C3">
        <v>3</v>
      </c>
      <c r="E3">
        <v>2356.6756</v>
      </c>
      <c r="G3">
        <v>4.0000000000000002E-4</v>
      </c>
      <c r="H3">
        <v>1.0820000000000001</v>
      </c>
      <c r="I3">
        <v>98</v>
      </c>
      <c r="J3" t="s">
        <v>4345</v>
      </c>
    </row>
    <row r="4" spans="1:10">
      <c r="A4" t="s">
        <v>4343</v>
      </c>
      <c r="B4" t="s">
        <v>13</v>
      </c>
      <c r="C4">
        <v>4</v>
      </c>
      <c r="E4">
        <v>4567.6413000000002</v>
      </c>
      <c r="G4">
        <v>5.9999999999999995E-4</v>
      </c>
      <c r="H4">
        <v>1.24</v>
      </c>
      <c r="I4">
        <v>94</v>
      </c>
      <c r="J4" t="s">
        <v>4345</v>
      </c>
    </row>
    <row r="5" spans="1:10">
      <c r="A5" t="s">
        <v>4343</v>
      </c>
      <c r="B5" t="s">
        <v>21</v>
      </c>
      <c r="C5">
        <v>0</v>
      </c>
      <c r="E5">
        <v>5521.7776000000003</v>
      </c>
      <c r="G5">
        <v>1.1999999999999999E-3</v>
      </c>
      <c r="H5">
        <v>0</v>
      </c>
      <c r="I5">
        <v>85</v>
      </c>
      <c r="J5" t="s">
        <v>4345</v>
      </c>
    </row>
    <row r="6" spans="1:10">
      <c r="A6" t="s">
        <v>4343</v>
      </c>
      <c r="B6" t="s">
        <v>21</v>
      </c>
      <c r="C6">
        <v>1</v>
      </c>
      <c r="E6">
        <v>6572.5497999999998</v>
      </c>
      <c r="G6">
        <v>8.0000000000000004E-4</v>
      </c>
      <c r="H6">
        <v>1.496</v>
      </c>
      <c r="I6">
        <v>87</v>
      </c>
      <c r="J6" t="s">
        <v>4345</v>
      </c>
    </row>
    <row r="7" spans="1:10">
      <c r="A7" t="s">
        <v>4343</v>
      </c>
      <c r="B7" t="s">
        <v>21</v>
      </c>
      <c r="C7">
        <v>2</v>
      </c>
      <c r="E7">
        <v>8983.7651999999998</v>
      </c>
      <c r="G7">
        <v>6.9999999999999999E-4</v>
      </c>
      <c r="H7">
        <v>1.3</v>
      </c>
      <c r="I7">
        <v>49</v>
      </c>
      <c r="J7" t="s">
        <v>4345</v>
      </c>
    </row>
    <row r="8" spans="1:10">
      <c r="A8" t="s">
        <v>4343</v>
      </c>
      <c r="B8" t="s">
        <v>30</v>
      </c>
      <c r="C8">
        <v>2</v>
      </c>
      <c r="E8">
        <v>5638.6151</v>
      </c>
      <c r="G8">
        <v>5.0000000000000001E-4</v>
      </c>
      <c r="H8">
        <v>1.1639999999999999</v>
      </c>
      <c r="I8">
        <v>48</v>
      </c>
      <c r="J8" t="s">
        <v>4345</v>
      </c>
    </row>
    <row r="9" spans="1:10">
      <c r="A9" t="s">
        <v>4346</v>
      </c>
      <c r="B9" t="s">
        <v>85</v>
      </c>
      <c r="C9">
        <v>2</v>
      </c>
      <c r="E9">
        <v>10508.904</v>
      </c>
      <c r="G9">
        <v>5.0000000000000001E-3</v>
      </c>
      <c r="H9">
        <v>0.80500000000000005</v>
      </c>
      <c r="I9" t="s">
        <v>503</v>
      </c>
      <c r="J9" t="s">
        <v>4347</v>
      </c>
    </row>
    <row r="10" spans="1:10">
      <c r="A10" t="s">
        <v>4343</v>
      </c>
      <c r="B10" t="s">
        <v>25</v>
      </c>
      <c r="C10">
        <v>4</v>
      </c>
      <c r="E10">
        <v>10532.569</v>
      </c>
      <c r="G10">
        <v>8.9999999999999998E-4</v>
      </c>
      <c r="H10">
        <v>1.0069999999999999</v>
      </c>
      <c r="I10">
        <v>90</v>
      </c>
      <c r="J10" t="s">
        <v>4345</v>
      </c>
    </row>
    <row r="11" spans="1:10">
      <c r="A11" t="s">
        <v>4346</v>
      </c>
      <c r="B11" t="s">
        <v>55</v>
      </c>
      <c r="C11">
        <v>1</v>
      </c>
      <c r="E11">
        <v>14017.826999999999</v>
      </c>
      <c r="G11">
        <v>6.0000000000000001E-3</v>
      </c>
      <c r="H11">
        <v>0.54200000000000004</v>
      </c>
      <c r="I11" t="s">
        <v>503</v>
      </c>
      <c r="J11" t="s">
        <v>4347</v>
      </c>
    </row>
    <row r="12" spans="1:10">
      <c r="A12" t="s">
        <v>4346</v>
      </c>
      <c r="B12" t="s">
        <v>55</v>
      </c>
      <c r="C12">
        <v>2</v>
      </c>
      <c r="E12">
        <v>16163.360199999999</v>
      </c>
      <c r="G12">
        <v>1.4E-3</v>
      </c>
      <c r="H12">
        <v>1.1719999999999999</v>
      </c>
      <c r="I12" t="s">
        <v>503</v>
      </c>
      <c r="J12" t="s">
        <v>4348</v>
      </c>
    </row>
    <row r="13" spans="1:10">
      <c r="A13" t="s">
        <v>4346</v>
      </c>
      <c r="B13" t="s">
        <v>55</v>
      </c>
      <c r="C13">
        <v>3</v>
      </c>
      <c r="E13">
        <v>18381.523399999998</v>
      </c>
      <c r="G13">
        <v>1.1000000000000001E-3</v>
      </c>
      <c r="H13">
        <v>1.2869999999999999</v>
      </c>
      <c r="I13" t="s">
        <v>503</v>
      </c>
      <c r="J13" t="s">
        <v>4348</v>
      </c>
    </row>
    <row r="14" spans="1:10">
      <c r="A14" t="s">
        <v>4349</v>
      </c>
      <c r="B14" t="s">
        <v>11</v>
      </c>
      <c r="C14">
        <v>1</v>
      </c>
      <c r="E14">
        <v>14092.293799999999</v>
      </c>
      <c r="G14">
        <v>2.5000000000000001E-3</v>
      </c>
      <c r="H14">
        <v>0.01</v>
      </c>
      <c r="I14">
        <v>94</v>
      </c>
      <c r="J14" t="s">
        <v>4345</v>
      </c>
    </row>
    <row r="15" spans="1:10">
      <c r="A15" t="s">
        <v>4349</v>
      </c>
      <c r="B15" t="s">
        <v>11</v>
      </c>
      <c r="C15">
        <v>2</v>
      </c>
      <c r="E15">
        <v>14740.6924</v>
      </c>
      <c r="G15">
        <v>2.8E-3</v>
      </c>
      <c r="H15">
        <v>1.0069999999999999</v>
      </c>
      <c r="I15">
        <v>96</v>
      </c>
      <c r="J15" t="s">
        <v>4345</v>
      </c>
    </row>
    <row r="16" spans="1:10">
      <c r="A16" t="s">
        <v>4349</v>
      </c>
      <c r="B16" t="s">
        <v>11</v>
      </c>
      <c r="C16">
        <v>3</v>
      </c>
      <c r="E16">
        <v>15673.341</v>
      </c>
      <c r="G16">
        <v>5.0000000000000001E-3</v>
      </c>
      <c r="H16">
        <v>1.248</v>
      </c>
      <c r="I16">
        <v>97</v>
      </c>
      <c r="J16" t="s">
        <v>4344</v>
      </c>
    </row>
    <row r="17" spans="1:10">
      <c r="A17" t="s">
        <v>4349</v>
      </c>
      <c r="B17" t="s">
        <v>11</v>
      </c>
      <c r="C17">
        <v>4</v>
      </c>
      <c r="E17">
        <v>16766.636999999999</v>
      </c>
      <c r="G17">
        <v>5.0000000000000001E-3</v>
      </c>
      <c r="H17">
        <v>1.341</v>
      </c>
      <c r="I17">
        <v>97</v>
      </c>
      <c r="J17" t="s">
        <v>4344</v>
      </c>
    </row>
    <row r="18" spans="1:10">
      <c r="A18" t="s">
        <v>4349</v>
      </c>
      <c r="B18" t="s">
        <v>11</v>
      </c>
      <c r="C18">
        <v>5</v>
      </c>
      <c r="E18">
        <v>17901.32</v>
      </c>
      <c r="G18">
        <v>7.0000000000000001E-3</v>
      </c>
      <c r="H18">
        <v>1.383</v>
      </c>
      <c r="I18">
        <v>93</v>
      </c>
      <c r="J18" t="s">
        <v>4344</v>
      </c>
    </row>
    <row r="19" spans="1:10">
      <c r="A19" t="s">
        <v>4346</v>
      </c>
      <c r="B19" t="s">
        <v>54</v>
      </c>
      <c r="C19">
        <v>2</v>
      </c>
      <c r="E19">
        <v>14435.138000000001</v>
      </c>
      <c r="G19">
        <v>5.0000000000000001E-3</v>
      </c>
      <c r="H19">
        <v>0.90300000000000002</v>
      </c>
      <c r="I19" t="s">
        <v>503</v>
      </c>
      <c r="J19" t="s">
        <v>4347</v>
      </c>
    </row>
    <row r="20" spans="1:10">
      <c r="A20" t="s">
        <v>4346</v>
      </c>
      <c r="B20" t="s">
        <v>54</v>
      </c>
      <c r="C20">
        <v>3</v>
      </c>
      <c r="E20">
        <v>14541.677</v>
      </c>
      <c r="G20">
        <v>5.0000000000000001E-3</v>
      </c>
      <c r="H20">
        <v>1.085</v>
      </c>
      <c r="I20" t="s">
        <v>503</v>
      </c>
      <c r="J20" t="s">
        <v>4347</v>
      </c>
    </row>
    <row r="21" spans="1:10">
      <c r="A21" t="s">
        <v>4346</v>
      </c>
      <c r="B21" t="s">
        <v>54</v>
      </c>
      <c r="C21">
        <v>4</v>
      </c>
      <c r="E21">
        <v>18224.981</v>
      </c>
      <c r="G21">
        <v>8.0000000000000002E-3</v>
      </c>
      <c r="H21">
        <v>1.246</v>
      </c>
      <c r="I21" t="s">
        <v>503</v>
      </c>
      <c r="J21" t="s">
        <v>4347</v>
      </c>
    </row>
    <row r="22" spans="1:10">
      <c r="A22" t="s">
        <v>4350</v>
      </c>
      <c r="B22" t="s">
        <v>50</v>
      </c>
      <c r="C22">
        <v>2</v>
      </c>
      <c r="E22">
        <v>18011.064699999999</v>
      </c>
      <c r="G22">
        <v>1E-3</v>
      </c>
      <c r="H22">
        <v>0.39400000000000002</v>
      </c>
      <c r="I22" t="s">
        <v>503</v>
      </c>
      <c r="J22" t="s">
        <v>4348</v>
      </c>
    </row>
    <row r="23" spans="1:10">
      <c r="A23" t="s">
        <v>4350</v>
      </c>
      <c r="B23" t="s">
        <v>50</v>
      </c>
      <c r="C23">
        <v>3</v>
      </c>
      <c r="E23">
        <v>19292.698400000001</v>
      </c>
      <c r="G23">
        <v>8.0000000000000004E-4</v>
      </c>
      <c r="H23">
        <v>0.95199999999999996</v>
      </c>
      <c r="I23" t="s">
        <v>503</v>
      </c>
      <c r="J23" t="s">
        <v>4348</v>
      </c>
    </row>
    <row r="24" spans="1:10">
      <c r="A24" t="s">
        <v>4350</v>
      </c>
      <c r="B24" t="s">
        <v>50</v>
      </c>
      <c r="C24">
        <v>4</v>
      </c>
      <c r="E24">
        <v>20960.122299999999</v>
      </c>
      <c r="G24">
        <v>8.0000000000000004E-4</v>
      </c>
      <c r="H24">
        <v>1.157</v>
      </c>
      <c r="I24" t="s">
        <v>503</v>
      </c>
      <c r="J24" t="s">
        <v>4348</v>
      </c>
    </row>
    <row r="25" spans="1:10">
      <c r="A25" t="s">
        <v>4350</v>
      </c>
      <c r="B25" t="s">
        <v>50</v>
      </c>
      <c r="C25">
        <v>5</v>
      </c>
      <c r="E25">
        <v>22901.383699999998</v>
      </c>
      <c r="G25">
        <v>1.1999999999999999E-3</v>
      </c>
      <c r="H25">
        <v>1.276</v>
      </c>
      <c r="I25" t="s">
        <v>503</v>
      </c>
      <c r="J25" t="s">
        <v>4348</v>
      </c>
    </row>
    <row r="26" spans="1:10">
      <c r="A26" t="s">
        <v>4350</v>
      </c>
      <c r="B26" t="s">
        <v>50</v>
      </c>
      <c r="C26">
        <v>6</v>
      </c>
      <c r="E26">
        <v>25462.114000000001</v>
      </c>
      <c r="G26">
        <v>1.9E-2</v>
      </c>
      <c r="H26" t="s">
        <v>4351</v>
      </c>
      <c r="I26" t="s">
        <v>503</v>
      </c>
      <c r="J26" t="s">
        <v>4347</v>
      </c>
    </row>
    <row r="27" spans="1:10">
      <c r="A27" t="s">
        <v>4346</v>
      </c>
      <c r="B27" t="s">
        <v>63</v>
      </c>
      <c r="C27">
        <v>1</v>
      </c>
      <c r="E27">
        <v>18143.403399999999</v>
      </c>
      <c r="G27">
        <v>1.6999999999999999E-3</v>
      </c>
      <c r="H27">
        <v>1.4279999999999999</v>
      </c>
      <c r="I27" t="s">
        <v>503</v>
      </c>
      <c r="J27" t="s">
        <v>4348</v>
      </c>
    </row>
    <row r="28" spans="1:10">
      <c r="A28" t="s">
        <v>4346</v>
      </c>
      <c r="B28" t="s">
        <v>63</v>
      </c>
      <c r="C28">
        <v>0</v>
      </c>
      <c r="E28">
        <v>18270.133000000002</v>
      </c>
      <c r="G28">
        <v>1.2999999999999999E-2</v>
      </c>
      <c r="H28">
        <v>0</v>
      </c>
      <c r="I28" t="s">
        <v>503</v>
      </c>
      <c r="J28" t="s">
        <v>4347</v>
      </c>
    </row>
    <row r="29" spans="1:10">
      <c r="A29" t="s">
        <v>4346</v>
      </c>
      <c r="B29" t="s">
        <v>63</v>
      </c>
      <c r="C29">
        <v>2</v>
      </c>
      <c r="E29">
        <v>19791.304</v>
      </c>
      <c r="G29">
        <v>1.2999999999999999E-3</v>
      </c>
      <c r="H29">
        <v>1.4139999999999999</v>
      </c>
      <c r="I29" t="s">
        <v>503</v>
      </c>
      <c r="J29" t="s">
        <v>4348</v>
      </c>
    </row>
    <row r="30" spans="1:10">
      <c r="A30" t="s">
        <v>4343</v>
      </c>
      <c r="B30" t="s">
        <v>264</v>
      </c>
      <c r="C30">
        <v>0</v>
      </c>
      <c r="E30">
        <v>20328.401999999998</v>
      </c>
      <c r="G30">
        <v>1.7000000000000001E-2</v>
      </c>
      <c r="I30">
        <v>91</v>
      </c>
      <c r="J30" t="s">
        <v>4352</v>
      </c>
    </row>
    <row r="31" spans="1:10">
      <c r="A31" t="s">
        <v>4353</v>
      </c>
      <c r="B31" t="s">
        <v>17</v>
      </c>
      <c r="C31">
        <v>1</v>
      </c>
      <c r="E31">
        <v>20784.857</v>
      </c>
      <c r="G31">
        <v>1.4999999999999999E-2</v>
      </c>
      <c r="H31">
        <v>2.4</v>
      </c>
      <c r="I31">
        <v>91</v>
      </c>
      <c r="J31" t="s">
        <v>4344</v>
      </c>
    </row>
    <row r="32" spans="1:10">
      <c r="A32" t="s">
        <v>4353</v>
      </c>
      <c r="B32" t="s">
        <v>17</v>
      </c>
      <c r="C32">
        <v>2</v>
      </c>
      <c r="E32">
        <v>20908.462</v>
      </c>
      <c r="G32">
        <v>5.0000000000000001E-3</v>
      </c>
      <c r="H32">
        <v>1.734</v>
      </c>
      <c r="I32">
        <v>79</v>
      </c>
      <c r="J32" t="s">
        <v>4344</v>
      </c>
    </row>
    <row r="33" spans="1:10">
      <c r="A33" t="s">
        <v>4353</v>
      </c>
      <c r="B33" t="s">
        <v>17</v>
      </c>
      <c r="C33">
        <v>3</v>
      </c>
      <c r="E33">
        <v>22199.11</v>
      </c>
      <c r="G33">
        <v>8.0000000000000002E-3</v>
      </c>
      <c r="I33">
        <v>92</v>
      </c>
      <c r="J33" t="s">
        <v>4344</v>
      </c>
    </row>
    <row r="34" spans="1:10">
      <c r="A34" t="s">
        <v>4350</v>
      </c>
      <c r="B34" t="s">
        <v>46</v>
      </c>
      <c r="C34">
        <v>1</v>
      </c>
      <c r="E34">
        <v>21738.7225</v>
      </c>
      <c r="G34">
        <v>1.1999999999999999E-3</v>
      </c>
      <c r="H34">
        <v>0.03</v>
      </c>
      <c r="I34" t="s">
        <v>503</v>
      </c>
      <c r="J34" t="s">
        <v>4348</v>
      </c>
    </row>
    <row r="35" spans="1:10">
      <c r="A35" t="s">
        <v>4350</v>
      </c>
      <c r="B35" t="s">
        <v>46</v>
      </c>
      <c r="C35">
        <v>2</v>
      </c>
      <c r="E35">
        <v>22450.552100000001</v>
      </c>
      <c r="G35">
        <v>6.9999999999999999E-4</v>
      </c>
      <c r="H35">
        <v>1.0109999999999999</v>
      </c>
      <c r="I35" t="s">
        <v>503</v>
      </c>
      <c r="J35" t="s">
        <v>4348</v>
      </c>
    </row>
    <row r="36" spans="1:10">
      <c r="A36" t="s">
        <v>4350</v>
      </c>
      <c r="B36" t="s">
        <v>46</v>
      </c>
      <c r="C36">
        <v>3</v>
      </c>
      <c r="E36">
        <v>23448.6227</v>
      </c>
      <c r="G36">
        <v>8.0000000000000004E-4</v>
      </c>
      <c r="H36">
        <v>1.204</v>
      </c>
      <c r="I36" t="s">
        <v>503</v>
      </c>
      <c r="J36" t="s">
        <v>4348</v>
      </c>
    </row>
    <row r="37" spans="1:10">
      <c r="A37" t="s">
        <v>4350</v>
      </c>
      <c r="B37" t="s">
        <v>46</v>
      </c>
      <c r="C37">
        <v>4</v>
      </c>
      <c r="E37">
        <v>24785.264899999998</v>
      </c>
      <c r="G37">
        <v>1.1999999999999999E-3</v>
      </c>
      <c r="H37">
        <v>1.33</v>
      </c>
      <c r="I37" t="s">
        <v>503</v>
      </c>
      <c r="J37" t="s">
        <v>4348</v>
      </c>
    </row>
    <row r="38" spans="1:10">
      <c r="A38" t="s">
        <v>4350</v>
      </c>
      <c r="B38" t="s">
        <v>46</v>
      </c>
      <c r="C38">
        <v>5</v>
      </c>
      <c r="E38">
        <v>26202.5501</v>
      </c>
      <c r="G38">
        <v>1.1999999999999999E-3</v>
      </c>
      <c r="H38">
        <v>1.357</v>
      </c>
      <c r="I38" t="s">
        <v>503</v>
      </c>
      <c r="J38" t="s">
        <v>4348</v>
      </c>
    </row>
    <row r="39" spans="1:10">
      <c r="A39" t="s">
        <v>4354</v>
      </c>
      <c r="B39" t="s">
        <v>23</v>
      </c>
      <c r="C39">
        <v>3</v>
      </c>
      <c r="E39">
        <v>22880.261999999999</v>
      </c>
      <c r="G39">
        <v>6.0000000000000001E-3</v>
      </c>
      <c r="H39" t="s">
        <v>4355</v>
      </c>
      <c r="I39">
        <v>87</v>
      </c>
      <c r="J39" t="s">
        <v>4344</v>
      </c>
    </row>
    <row r="40" spans="1:10">
      <c r="A40" t="s">
        <v>4354</v>
      </c>
      <c r="B40" t="s">
        <v>23</v>
      </c>
      <c r="C40">
        <v>4</v>
      </c>
      <c r="E40">
        <v>23252.851999999999</v>
      </c>
      <c r="G40">
        <v>5.0000000000000001E-3</v>
      </c>
      <c r="H40">
        <v>1.028</v>
      </c>
      <c r="I40">
        <v>77</v>
      </c>
      <c r="J40" t="s">
        <v>4344</v>
      </c>
    </row>
    <row r="41" spans="1:10">
      <c r="A41" t="s">
        <v>4354</v>
      </c>
      <c r="B41" t="s">
        <v>23</v>
      </c>
      <c r="C41">
        <v>5</v>
      </c>
      <c r="E41">
        <v>24085.183000000001</v>
      </c>
      <c r="G41">
        <v>7.0000000000000001E-3</v>
      </c>
      <c r="H41">
        <v>1.1419999999999999</v>
      </c>
      <c r="I41">
        <v>65</v>
      </c>
      <c r="J41" t="s">
        <v>4344</v>
      </c>
    </row>
    <row r="42" spans="1:10">
      <c r="A42" t="s">
        <v>4349</v>
      </c>
      <c r="B42" t="s">
        <v>19</v>
      </c>
      <c r="C42">
        <v>2</v>
      </c>
      <c r="E42">
        <v>23327.739000000001</v>
      </c>
      <c r="G42">
        <v>6.0000000000000001E-3</v>
      </c>
      <c r="H42">
        <v>0.90200000000000002</v>
      </c>
      <c r="I42">
        <v>55</v>
      </c>
      <c r="J42" t="s">
        <v>4344</v>
      </c>
    </row>
    <row r="43" spans="1:10">
      <c r="A43" t="s">
        <v>4349</v>
      </c>
      <c r="B43" t="s">
        <v>19</v>
      </c>
      <c r="C43">
        <v>3</v>
      </c>
      <c r="E43">
        <v>25281.843000000001</v>
      </c>
      <c r="G43">
        <v>6.0000000000000001E-3</v>
      </c>
      <c r="H43">
        <v>1.1439999999999999</v>
      </c>
      <c r="I43">
        <v>48</v>
      </c>
      <c r="J43" t="s">
        <v>4344</v>
      </c>
    </row>
    <row r="44" spans="1:10">
      <c r="A44" t="s">
        <v>4349</v>
      </c>
      <c r="B44" t="s">
        <v>19</v>
      </c>
      <c r="C44">
        <v>4</v>
      </c>
      <c r="E44">
        <v>27074.542000000001</v>
      </c>
      <c r="G44">
        <v>7.0000000000000001E-3</v>
      </c>
      <c r="I44">
        <v>77</v>
      </c>
      <c r="J44" t="s">
        <v>4344</v>
      </c>
    </row>
    <row r="45" spans="1:10">
      <c r="A45" t="s">
        <v>4356</v>
      </c>
      <c r="B45" t="s">
        <v>27</v>
      </c>
      <c r="C45">
        <v>1</v>
      </c>
      <c r="E45">
        <v>23641.388999999999</v>
      </c>
      <c r="G45">
        <v>1.0999999999999999E-2</v>
      </c>
      <c r="I45">
        <v>48</v>
      </c>
      <c r="J45" t="s">
        <v>4352</v>
      </c>
    </row>
    <row r="46" spans="1:10">
      <c r="A46" t="s">
        <v>4356</v>
      </c>
      <c r="B46" t="s">
        <v>27</v>
      </c>
      <c r="C46">
        <v>2</v>
      </c>
      <c r="E46">
        <v>25084.171999999999</v>
      </c>
      <c r="G46">
        <v>6.0000000000000001E-3</v>
      </c>
      <c r="I46">
        <v>35</v>
      </c>
      <c r="J46" t="s">
        <v>4344</v>
      </c>
    </row>
    <row r="47" spans="1:10">
      <c r="A47" t="s">
        <v>4356</v>
      </c>
      <c r="B47" t="s">
        <v>27</v>
      </c>
      <c r="C47">
        <v>3</v>
      </c>
      <c r="E47">
        <v>26715.402999999998</v>
      </c>
      <c r="G47">
        <v>8.0000000000000002E-3</v>
      </c>
      <c r="H47">
        <v>1.2230000000000001</v>
      </c>
      <c r="I47">
        <v>43</v>
      </c>
      <c r="J47" t="s">
        <v>4344</v>
      </c>
    </row>
    <row r="48" spans="1:10">
      <c r="A48" t="s">
        <v>4346</v>
      </c>
      <c r="B48" t="s">
        <v>76</v>
      </c>
      <c r="C48">
        <v>3</v>
      </c>
      <c r="E48">
        <v>23644.756300000001</v>
      </c>
      <c r="G48">
        <v>1.2999999999999999E-3</v>
      </c>
      <c r="H48">
        <v>1.0740000000000001</v>
      </c>
      <c r="I48" t="s">
        <v>503</v>
      </c>
      <c r="J48" t="s">
        <v>4348</v>
      </c>
    </row>
    <row r="49" spans="1:10">
      <c r="A49" t="s">
        <v>4350</v>
      </c>
      <c r="B49" t="s">
        <v>45</v>
      </c>
      <c r="C49">
        <v>0</v>
      </c>
      <c r="E49">
        <v>24966.809000000001</v>
      </c>
      <c r="G49">
        <v>0.01</v>
      </c>
      <c r="H49">
        <v>0</v>
      </c>
      <c r="I49" t="s">
        <v>503</v>
      </c>
      <c r="J49" t="s">
        <v>4347</v>
      </c>
    </row>
    <row r="50" spans="1:10">
      <c r="A50" t="s">
        <v>4350</v>
      </c>
      <c r="B50" t="s">
        <v>45</v>
      </c>
      <c r="C50">
        <v>1</v>
      </c>
      <c r="E50">
        <v>25194.508999999998</v>
      </c>
      <c r="G50">
        <v>8.0000000000000004E-4</v>
      </c>
      <c r="H50">
        <v>1.4470000000000001</v>
      </c>
      <c r="I50" t="s">
        <v>503</v>
      </c>
      <c r="J50" t="s">
        <v>4348</v>
      </c>
    </row>
    <row r="51" spans="1:10">
      <c r="A51" t="s">
        <v>4350</v>
      </c>
      <c r="B51" t="s">
        <v>45</v>
      </c>
      <c r="C51">
        <v>2</v>
      </c>
      <c r="E51">
        <v>25634.223399999999</v>
      </c>
      <c r="G51">
        <v>8.9999999999999998E-4</v>
      </c>
      <c r="H51">
        <v>1.4179999999999999</v>
      </c>
      <c r="I51" t="s">
        <v>503</v>
      </c>
      <c r="J51" t="s">
        <v>4348</v>
      </c>
    </row>
    <row r="52" spans="1:10">
      <c r="A52" t="s">
        <v>4350</v>
      </c>
      <c r="B52" t="s">
        <v>45</v>
      </c>
      <c r="C52">
        <v>3</v>
      </c>
      <c r="E52">
        <v>26305.808099999998</v>
      </c>
      <c r="G52">
        <v>8.0000000000000004E-4</v>
      </c>
      <c r="H52">
        <v>1.3959999999999999</v>
      </c>
      <c r="I52" t="s">
        <v>503</v>
      </c>
      <c r="J52" t="s">
        <v>4348</v>
      </c>
    </row>
    <row r="53" spans="1:10">
      <c r="A53" t="s">
        <v>4350</v>
      </c>
      <c r="B53" t="s">
        <v>45</v>
      </c>
      <c r="C53">
        <v>4</v>
      </c>
      <c r="E53">
        <v>27516.420099999999</v>
      </c>
      <c r="G53">
        <v>1.1999999999999999E-3</v>
      </c>
      <c r="H53">
        <v>1.474</v>
      </c>
      <c r="I53" t="s">
        <v>503</v>
      </c>
      <c r="J53" t="s">
        <v>4348</v>
      </c>
    </row>
    <row r="54" spans="1:10">
      <c r="A54" t="s">
        <v>4357</v>
      </c>
      <c r="B54" t="s">
        <v>33</v>
      </c>
      <c r="C54">
        <v>0</v>
      </c>
      <c r="E54">
        <v>25444.379000000001</v>
      </c>
      <c r="G54">
        <v>1.2E-2</v>
      </c>
      <c r="I54">
        <v>65</v>
      </c>
      <c r="J54" t="s">
        <v>4344</v>
      </c>
    </row>
    <row r="55" spans="1:10">
      <c r="A55" t="s">
        <v>4357</v>
      </c>
      <c r="B55" t="s">
        <v>33</v>
      </c>
      <c r="C55">
        <v>1</v>
      </c>
      <c r="E55">
        <v>26918.146000000001</v>
      </c>
      <c r="G55">
        <v>8.0000000000000002E-3</v>
      </c>
      <c r="I55">
        <v>67</v>
      </c>
      <c r="J55" t="s">
        <v>4344</v>
      </c>
    </row>
    <row r="56" spans="1:10">
      <c r="A56" t="s">
        <v>4357</v>
      </c>
      <c r="B56" t="s">
        <v>33</v>
      </c>
      <c r="C56">
        <v>2</v>
      </c>
      <c r="E56">
        <v>28200.544000000002</v>
      </c>
      <c r="G56">
        <v>7.0000000000000001E-3</v>
      </c>
      <c r="H56">
        <v>1.393</v>
      </c>
      <c r="I56">
        <v>53</v>
      </c>
      <c r="J56" t="s">
        <v>4344</v>
      </c>
    </row>
    <row r="57" spans="1:10">
      <c r="A57" t="s">
        <v>4358</v>
      </c>
      <c r="B57" t="s">
        <v>29</v>
      </c>
      <c r="C57">
        <v>4</v>
      </c>
      <c r="E57">
        <v>25678.643</v>
      </c>
      <c r="G57">
        <v>6.0000000000000001E-3</v>
      </c>
      <c r="I57">
        <v>67</v>
      </c>
      <c r="J57" t="s">
        <v>4344</v>
      </c>
    </row>
    <row r="58" spans="1:10">
      <c r="A58" t="s">
        <v>4358</v>
      </c>
      <c r="B58" t="s">
        <v>29</v>
      </c>
      <c r="C58">
        <v>6</v>
      </c>
      <c r="E58">
        <v>26943.983</v>
      </c>
      <c r="G58">
        <v>0.01</v>
      </c>
      <c r="I58">
        <v>99</v>
      </c>
      <c r="J58" t="s">
        <v>4344</v>
      </c>
    </row>
    <row r="59" spans="1:10">
      <c r="A59" t="s">
        <v>4358</v>
      </c>
      <c r="B59" t="s">
        <v>29</v>
      </c>
      <c r="C59">
        <v>5</v>
      </c>
      <c r="E59">
        <v>27018.812000000002</v>
      </c>
      <c r="G59">
        <v>8.0000000000000002E-3</v>
      </c>
      <c r="I59">
        <v>73</v>
      </c>
      <c r="J59" t="s">
        <v>4344</v>
      </c>
    </row>
    <row r="60" spans="1:10">
      <c r="A60" t="s">
        <v>4346</v>
      </c>
      <c r="B60" t="s">
        <v>89</v>
      </c>
      <c r="C60">
        <v>1</v>
      </c>
      <c r="E60">
        <v>26463.964899999999</v>
      </c>
      <c r="G60">
        <v>6.9999999999999999E-4</v>
      </c>
      <c r="H60">
        <v>0.996</v>
      </c>
      <c r="I60" t="s">
        <v>503</v>
      </c>
      <c r="J60" t="s">
        <v>4348</v>
      </c>
    </row>
    <row r="61" spans="1:10">
      <c r="A61" t="s">
        <v>4350</v>
      </c>
      <c r="B61" t="s">
        <v>65</v>
      </c>
      <c r="C61">
        <v>2</v>
      </c>
      <c r="E61">
        <v>27149.664199999999</v>
      </c>
      <c r="G61">
        <v>8.0000000000000004E-4</v>
      </c>
      <c r="H61">
        <v>0.99299999999999999</v>
      </c>
      <c r="I61" t="s">
        <v>503</v>
      </c>
      <c r="J61" t="s">
        <v>4348</v>
      </c>
    </row>
    <row r="62" spans="1:10">
      <c r="A62" t="s">
        <v>4350</v>
      </c>
      <c r="B62" t="s">
        <v>65</v>
      </c>
      <c r="C62">
        <v>3</v>
      </c>
      <c r="E62">
        <v>27654.358</v>
      </c>
      <c r="G62">
        <v>8.9999999999999998E-4</v>
      </c>
      <c r="H62">
        <v>1.157</v>
      </c>
      <c r="I62" t="s">
        <v>503</v>
      </c>
      <c r="J62" t="s">
        <v>4348</v>
      </c>
    </row>
    <row r="63" spans="1:10">
      <c r="A63" t="s">
        <v>4350</v>
      </c>
      <c r="B63" t="s">
        <v>65</v>
      </c>
      <c r="C63">
        <v>4</v>
      </c>
      <c r="E63">
        <v>30733.272300000001</v>
      </c>
      <c r="G63">
        <v>8.0000000000000004E-4</v>
      </c>
      <c r="H63">
        <v>1.2769999999999999</v>
      </c>
      <c r="I63" t="s">
        <v>503</v>
      </c>
      <c r="J63" t="s">
        <v>4348</v>
      </c>
    </row>
    <row r="64" spans="1:10">
      <c r="A64" t="s">
        <v>4359</v>
      </c>
      <c r="B64" t="s">
        <v>58</v>
      </c>
      <c r="C64">
        <v>0</v>
      </c>
      <c r="E64">
        <v>27231.77</v>
      </c>
      <c r="G64">
        <v>1.0999999999999999E-2</v>
      </c>
      <c r="I64" t="s">
        <v>503</v>
      </c>
      <c r="J64" t="s">
        <v>4347</v>
      </c>
    </row>
    <row r="65" spans="1:10">
      <c r="A65" t="s">
        <v>4359</v>
      </c>
      <c r="B65" t="s">
        <v>58</v>
      </c>
      <c r="C65">
        <v>1</v>
      </c>
      <c r="E65">
        <v>27533.7873</v>
      </c>
      <c r="G65">
        <v>8.0000000000000004E-4</v>
      </c>
      <c r="H65">
        <v>1.264</v>
      </c>
      <c r="I65" t="s">
        <v>503</v>
      </c>
      <c r="J65" t="s">
        <v>4348</v>
      </c>
    </row>
    <row r="66" spans="1:10">
      <c r="A66" t="s">
        <v>4359</v>
      </c>
      <c r="B66" t="s">
        <v>58</v>
      </c>
      <c r="C66">
        <v>2</v>
      </c>
      <c r="E66">
        <v>29752.886999999999</v>
      </c>
      <c r="G66">
        <v>1.2999999999999999E-3</v>
      </c>
      <c r="H66">
        <v>1.498</v>
      </c>
      <c r="I66" t="s">
        <v>503</v>
      </c>
      <c r="J66" t="s">
        <v>4348</v>
      </c>
    </row>
    <row r="67" spans="1:10">
      <c r="A67" t="s">
        <v>4359</v>
      </c>
      <c r="B67" t="s">
        <v>58</v>
      </c>
      <c r="C67">
        <v>3</v>
      </c>
      <c r="E67">
        <v>31342.5275</v>
      </c>
      <c r="G67">
        <v>8.0000000000000004E-4</v>
      </c>
      <c r="H67">
        <v>1.387</v>
      </c>
      <c r="I67" t="s">
        <v>503</v>
      </c>
      <c r="J67" t="s">
        <v>4348</v>
      </c>
    </row>
    <row r="68" spans="1:10">
      <c r="A68" t="s">
        <v>4359</v>
      </c>
      <c r="B68" t="s">
        <v>58</v>
      </c>
      <c r="C68">
        <v>4</v>
      </c>
      <c r="E68">
        <v>31943.343499999999</v>
      </c>
      <c r="G68">
        <v>1E-3</v>
      </c>
      <c r="H68">
        <v>1.401</v>
      </c>
      <c r="I68" t="s">
        <v>503</v>
      </c>
      <c r="J68" t="s">
        <v>4348</v>
      </c>
    </row>
    <row r="69" spans="1:10">
      <c r="A69" t="s">
        <v>4359</v>
      </c>
      <c r="B69" t="s">
        <v>67</v>
      </c>
      <c r="C69">
        <v>1</v>
      </c>
      <c r="E69">
        <v>28047.9411</v>
      </c>
      <c r="G69">
        <v>1E-3</v>
      </c>
      <c r="H69">
        <v>1.93</v>
      </c>
      <c r="I69" t="s">
        <v>503</v>
      </c>
      <c r="J69" t="s">
        <v>4348</v>
      </c>
    </row>
    <row r="70" spans="1:10">
      <c r="A70" t="s">
        <v>4350</v>
      </c>
      <c r="B70" t="s">
        <v>62</v>
      </c>
      <c r="C70">
        <v>2</v>
      </c>
      <c r="E70">
        <v>28267.436600000001</v>
      </c>
      <c r="G70">
        <v>8.0000000000000004E-4</v>
      </c>
      <c r="H70">
        <v>1.139</v>
      </c>
      <c r="I70" t="s">
        <v>503</v>
      </c>
      <c r="J70" t="s">
        <v>4348</v>
      </c>
    </row>
    <row r="71" spans="1:10">
      <c r="A71" t="s">
        <v>4350</v>
      </c>
      <c r="B71" t="s">
        <v>62</v>
      </c>
      <c r="C71">
        <v>1</v>
      </c>
      <c r="E71">
        <v>28790.272000000001</v>
      </c>
      <c r="G71">
        <v>8.9999999999999998E-4</v>
      </c>
      <c r="H71">
        <v>0.96599999999999997</v>
      </c>
      <c r="I71" t="s">
        <v>503</v>
      </c>
      <c r="J71" t="s">
        <v>4348</v>
      </c>
    </row>
    <row r="72" spans="1:10">
      <c r="A72" t="s">
        <v>4350</v>
      </c>
      <c r="B72" t="s">
        <v>62</v>
      </c>
      <c r="C72">
        <v>3</v>
      </c>
      <c r="E72">
        <v>29996.851299999998</v>
      </c>
      <c r="G72">
        <v>8.0000000000000004E-4</v>
      </c>
      <c r="H72">
        <v>1.232</v>
      </c>
      <c r="I72" t="s">
        <v>503</v>
      </c>
      <c r="J72" t="s">
        <v>4348</v>
      </c>
    </row>
    <row r="73" spans="1:10">
      <c r="A73" t="s">
        <v>4359</v>
      </c>
      <c r="B73" t="s">
        <v>72</v>
      </c>
      <c r="C73">
        <v>0</v>
      </c>
      <c r="E73">
        <v>28526.2274</v>
      </c>
      <c r="G73">
        <v>1.4E-3</v>
      </c>
      <c r="H73">
        <v>0</v>
      </c>
      <c r="I73" t="s">
        <v>503</v>
      </c>
      <c r="J73" t="s">
        <v>4348</v>
      </c>
    </row>
    <row r="74" spans="1:10">
      <c r="A74" t="s">
        <v>4359</v>
      </c>
      <c r="B74" t="s">
        <v>72</v>
      </c>
      <c r="C74">
        <v>2</v>
      </c>
      <c r="E74">
        <v>29401.4784</v>
      </c>
      <c r="G74">
        <v>8.0000000000000004E-4</v>
      </c>
      <c r="H74">
        <v>1.748</v>
      </c>
      <c r="I74" t="s">
        <v>503</v>
      </c>
      <c r="J74" t="s">
        <v>4348</v>
      </c>
    </row>
    <row r="75" spans="1:10">
      <c r="A75" t="s">
        <v>4353</v>
      </c>
      <c r="B75" t="s">
        <v>24</v>
      </c>
      <c r="C75">
        <v>1</v>
      </c>
      <c r="E75">
        <v>28527.998</v>
      </c>
      <c r="G75">
        <v>8.9999999999999993E-3</v>
      </c>
      <c r="H75">
        <v>1.222</v>
      </c>
      <c r="I75">
        <v>51</v>
      </c>
      <c r="J75" t="s">
        <v>4344</v>
      </c>
    </row>
    <row r="76" spans="1:10">
      <c r="A76" t="s">
        <v>4353</v>
      </c>
      <c r="B76" t="s">
        <v>24</v>
      </c>
      <c r="C76">
        <v>2</v>
      </c>
      <c r="E76">
        <v>30146.412</v>
      </c>
      <c r="G76">
        <v>8.9999999999999993E-3</v>
      </c>
      <c r="H76">
        <v>1.371</v>
      </c>
      <c r="I76">
        <v>63</v>
      </c>
      <c r="J76" t="s">
        <v>4344</v>
      </c>
    </row>
    <row r="77" spans="1:10">
      <c r="A77" t="s">
        <v>4353</v>
      </c>
      <c r="B77" t="s">
        <v>24</v>
      </c>
      <c r="C77">
        <v>0</v>
      </c>
      <c r="E77">
        <v>30298.762999999999</v>
      </c>
      <c r="G77">
        <v>2.1000000000000001E-2</v>
      </c>
      <c r="I77">
        <v>73</v>
      </c>
      <c r="J77" t="s">
        <v>4352</v>
      </c>
    </row>
    <row r="78" spans="1:10">
      <c r="A78" t="s">
        <v>4350</v>
      </c>
      <c r="B78" t="s">
        <v>49</v>
      </c>
      <c r="C78">
        <v>3</v>
      </c>
      <c r="E78">
        <v>28583.7248</v>
      </c>
      <c r="G78">
        <v>8.9999999999999998E-4</v>
      </c>
      <c r="H78">
        <v>0.94</v>
      </c>
      <c r="I78" t="s">
        <v>503</v>
      </c>
      <c r="J78" t="s">
        <v>4348</v>
      </c>
    </row>
    <row r="79" spans="1:10">
      <c r="A79" t="s">
        <v>4350</v>
      </c>
      <c r="B79" t="s">
        <v>49</v>
      </c>
      <c r="C79">
        <v>4</v>
      </c>
      <c r="E79">
        <v>29246.675999999999</v>
      </c>
      <c r="G79">
        <v>1.2999999999999999E-3</v>
      </c>
      <c r="H79">
        <v>1.071</v>
      </c>
      <c r="I79" t="s">
        <v>503</v>
      </c>
      <c r="J79" t="s">
        <v>4348</v>
      </c>
    </row>
    <row r="80" spans="1:10">
      <c r="A80" t="s">
        <v>4350</v>
      </c>
      <c r="B80" t="s">
        <v>49</v>
      </c>
      <c r="C80">
        <v>5</v>
      </c>
      <c r="E80">
        <v>30977.033800000001</v>
      </c>
      <c r="G80">
        <v>1.1999999999999999E-3</v>
      </c>
      <c r="H80">
        <v>1.2130000000000001</v>
      </c>
      <c r="I80" t="s">
        <v>503</v>
      </c>
      <c r="J80" t="s">
        <v>4348</v>
      </c>
    </row>
    <row r="81" spans="1:10">
      <c r="A81" t="s">
        <v>4354</v>
      </c>
      <c r="B81" t="s">
        <v>25</v>
      </c>
      <c r="C81">
        <v>4</v>
      </c>
      <c r="E81">
        <v>30501.127</v>
      </c>
      <c r="G81">
        <v>1.0999999999999999E-2</v>
      </c>
      <c r="I81">
        <v>45</v>
      </c>
      <c r="J81" t="s">
        <v>4352</v>
      </c>
    </row>
    <row r="82" spans="1:10">
      <c r="A82" t="s">
        <v>4360</v>
      </c>
      <c r="B82" t="s">
        <v>35</v>
      </c>
      <c r="C82">
        <v>3</v>
      </c>
      <c r="E82">
        <v>31054.652999999998</v>
      </c>
      <c r="G82">
        <v>7.0000000000000001E-3</v>
      </c>
      <c r="H82">
        <v>1.085</v>
      </c>
      <c r="I82">
        <v>89</v>
      </c>
      <c r="J82" t="s">
        <v>4344</v>
      </c>
    </row>
    <row r="83" spans="1:10">
      <c r="A83" t="s">
        <v>4360</v>
      </c>
      <c r="B83" t="s">
        <v>35</v>
      </c>
      <c r="C83">
        <v>4</v>
      </c>
      <c r="E83">
        <v>31575.687000000002</v>
      </c>
      <c r="G83">
        <v>8.9999999999999993E-3</v>
      </c>
      <c r="H83">
        <v>1.1499999999999999</v>
      </c>
      <c r="I83">
        <v>68</v>
      </c>
      <c r="J83" t="s">
        <v>4344</v>
      </c>
    </row>
    <row r="84" spans="1:10">
      <c r="A84" t="s">
        <v>4360</v>
      </c>
      <c r="B84" t="s">
        <v>35</v>
      </c>
      <c r="C84">
        <v>2</v>
      </c>
      <c r="E84">
        <v>31619.988000000001</v>
      </c>
      <c r="G84">
        <v>0.01</v>
      </c>
      <c r="H84">
        <v>1.0069999999999999</v>
      </c>
      <c r="I84">
        <v>60</v>
      </c>
      <c r="J84" t="s">
        <v>4344</v>
      </c>
    </row>
    <row r="85" spans="1:10">
      <c r="A85" t="s">
        <v>4356</v>
      </c>
      <c r="B85" t="s">
        <v>39</v>
      </c>
      <c r="C85">
        <v>2</v>
      </c>
      <c r="E85">
        <v>31119.207999999999</v>
      </c>
      <c r="G85">
        <v>7.0000000000000001E-3</v>
      </c>
      <c r="H85">
        <v>0.88900000000000001</v>
      </c>
      <c r="I85">
        <v>31</v>
      </c>
      <c r="J85" t="s">
        <v>4344</v>
      </c>
    </row>
    <row r="86" spans="1:10">
      <c r="A86" t="s">
        <v>4361</v>
      </c>
      <c r="B86" t="s">
        <v>98</v>
      </c>
      <c r="C86">
        <v>2</v>
      </c>
      <c r="E86">
        <v>31610.8213</v>
      </c>
      <c r="G86">
        <v>8.0000000000000004E-4</v>
      </c>
      <c r="H86">
        <v>1.004</v>
      </c>
      <c r="I86" t="s">
        <v>503</v>
      </c>
      <c r="J86" t="s">
        <v>4348</v>
      </c>
    </row>
    <row r="87" spans="1:10">
      <c r="A87" t="s">
        <v>4359</v>
      </c>
      <c r="B87" t="s">
        <v>57</v>
      </c>
      <c r="C87">
        <v>2</v>
      </c>
      <c r="E87">
        <v>31943.851600000002</v>
      </c>
      <c r="G87">
        <v>1.1000000000000001E-3</v>
      </c>
      <c r="H87">
        <v>1.5940000000000001</v>
      </c>
      <c r="I87" t="s">
        <v>503</v>
      </c>
      <c r="J87" t="s">
        <v>4348</v>
      </c>
    </row>
    <row r="88" spans="1:10">
      <c r="A88" t="s">
        <v>4359</v>
      </c>
      <c r="B88" t="s">
        <v>59</v>
      </c>
      <c r="C88">
        <v>1</v>
      </c>
      <c r="E88">
        <v>31952.292799999999</v>
      </c>
      <c r="G88">
        <v>1.1000000000000001E-3</v>
      </c>
      <c r="H88">
        <v>2.08</v>
      </c>
      <c r="I88" t="s">
        <v>503</v>
      </c>
      <c r="J88" t="s">
        <v>4348</v>
      </c>
    </row>
    <row r="89" spans="1:10">
      <c r="A89" t="s">
        <v>4359</v>
      </c>
      <c r="B89" t="s">
        <v>59</v>
      </c>
      <c r="C89">
        <v>2</v>
      </c>
      <c r="E89">
        <v>33121.509400000003</v>
      </c>
      <c r="G89">
        <v>2.3999999999999998E-3</v>
      </c>
      <c r="H89">
        <v>1.3420000000000001</v>
      </c>
      <c r="I89" t="s">
        <v>503</v>
      </c>
      <c r="J89" t="s">
        <v>4348</v>
      </c>
    </row>
    <row r="90" spans="1:10">
      <c r="A90" t="s">
        <v>4359</v>
      </c>
      <c r="B90" t="s">
        <v>59</v>
      </c>
      <c r="C90">
        <v>3</v>
      </c>
      <c r="E90">
        <v>33139.177600000003</v>
      </c>
      <c r="G90">
        <v>1.5E-3</v>
      </c>
      <c r="H90">
        <v>1.4410000000000001</v>
      </c>
      <c r="I90" t="s">
        <v>503</v>
      </c>
      <c r="J90" t="s">
        <v>4348</v>
      </c>
    </row>
    <row r="91" spans="1:10">
      <c r="A91" t="s">
        <v>4357</v>
      </c>
      <c r="B91" t="s">
        <v>32</v>
      </c>
      <c r="C91">
        <v>1</v>
      </c>
      <c r="E91">
        <v>32091.616999999998</v>
      </c>
      <c r="G91">
        <v>0.01</v>
      </c>
      <c r="H91">
        <v>1.167</v>
      </c>
      <c r="I91">
        <v>56</v>
      </c>
      <c r="J91" t="s">
        <v>4344</v>
      </c>
    </row>
    <row r="92" spans="1:10">
      <c r="A92" t="s">
        <v>4361</v>
      </c>
      <c r="B92" t="s">
        <v>70</v>
      </c>
      <c r="C92">
        <v>3</v>
      </c>
      <c r="E92">
        <v>32533.374599999999</v>
      </c>
      <c r="G92">
        <v>1.2999999999999999E-3</v>
      </c>
      <c r="H92">
        <v>0.95099999999999996</v>
      </c>
      <c r="I92" t="s">
        <v>503</v>
      </c>
      <c r="J92" t="s">
        <v>4348</v>
      </c>
    </row>
    <row r="93" spans="1:10">
      <c r="A93" t="s">
        <v>4361</v>
      </c>
      <c r="B93" t="s">
        <v>70</v>
      </c>
      <c r="C93">
        <v>4</v>
      </c>
      <c r="E93">
        <v>33994.745499999997</v>
      </c>
      <c r="G93">
        <v>1E-3</v>
      </c>
      <c r="H93">
        <v>1.0309999999999999</v>
      </c>
      <c r="I93" t="s">
        <v>503</v>
      </c>
      <c r="J93" t="s">
        <v>4348</v>
      </c>
    </row>
    <row r="94" spans="1:10">
      <c r="A94" t="s">
        <v>4361</v>
      </c>
      <c r="B94" t="s">
        <v>70</v>
      </c>
      <c r="C94">
        <v>5</v>
      </c>
      <c r="E94">
        <v>35993.770199999999</v>
      </c>
      <c r="G94">
        <v>1.6999999999999999E-3</v>
      </c>
      <c r="H94">
        <v>1.1299999999999999</v>
      </c>
      <c r="I94" t="s">
        <v>503</v>
      </c>
      <c r="J94" t="s">
        <v>4348</v>
      </c>
    </row>
    <row r="95" spans="1:10">
      <c r="A95" t="s">
        <v>4359</v>
      </c>
      <c r="B95" t="s">
        <v>75</v>
      </c>
      <c r="C95">
        <v>1</v>
      </c>
      <c r="E95">
        <v>33137.904000000002</v>
      </c>
      <c r="G95">
        <v>8.0000000000000002E-3</v>
      </c>
      <c r="H95">
        <v>0.77200000000000002</v>
      </c>
      <c r="I95" t="s">
        <v>503</v>
      </c>
      <c r="J95" t="s">
        <v>4347</v>
      </c>
    </row>
    <row r="96" spans="1:10">
      <c r="A96" t="s">
        <v>4359</v>
      </c>
      <c r="B96" t="s">
        <v>75</v>
      </c>
      <c r="C96">
        <v>2</v>
      </c>
      <c r="E96">
        <v>34947.974900000001</v>
      </c>
      <c r="G96">
        <v>2E-3</v>
      </c>
      <c r="H96">
        <v>1.1639999999999999</v>
      </c>
      <c r="I96" t="s">
        <v>503</v>
      </c>
      <c r="J96" t="s">
        <v>4348</v>
      </c>
    </row>
    <row r="97" spans="1:10">
      <c r="A97" t="s">
        <v>4359</v>
      </c>
      <c r="B97" t="s">
        <v>75</v>
      </c>
      <c r="C97">
        <v>3</v>
      </c>
      <c r="E97">
        <v>36609.883000000002</v>
      </c>
      <c r="G97">
        <v>7.0000000000000001E-3</v>
      </c>
      <c r="H97">
        <v>1.256</v>
      </c>
      <c r="I97" t="s">
        <v>503</v>
      </c>
      <c r="J97" t="s">
        <v>4347</v>
      </c>
    </row>
    <row r="98" spans="1:10">
      <c r="A98" t="s">
        <v>4361</v>
      </c>
      <c r="B98" t="s">
        <v>78</v>
      </c>
      <c r="C98">
        <v>2</v>
      </c>
      <c r="E98">
        <v>33538.161999999997</v>
      </c>
      <c r="G98">
        <v>1.6000000000000001E-3</v>
      </c>
      <c r="H98">
        <v>0.82099999999999995</v>
      </c>
      <c r="I98" t="s">
        <v>503</v>
      </c>
      <c r="J98" t="s">
        <v>4348</v>
      </c>
    </row>
    <row r="99" spans="1:10">
      <c r="A99" t="s">
        <v>4361</v>
      </c>
      <c r="B99" t="s">
        <v>78</v>
      </c>
      <c r="C99">
        <v>3</v>
      </c>
      <c r="E99">
        <v>33949.313000000002</v>
      </c>
      <c r="G99">
        <v>4.0000000000000001E-3</v>
      </c>
      <c r="H99">
        <v>1.0880000000000001</v>
      </c>
      <c r="I99" t="s">
        <v>503</v>
      </c>
      <c r="J99" t="s">
        <v>4348</v>
      </c>
    </row>
    <row r="100" spans="1:10">
      <c r="A100" t="s">
        <v>4361</v>
      </c>
      <c r="B100" t="s">
        <v>78</v>
      </c>
      <c r="C100">
        <v>4</v>
      </c>
      <c r="E100">
        <v>36075.072200000002</v>
      </c>
      <c r="G100">
        <v>1.2999999999999999E-3</v>
      </c>
      <c r="H100">
        <v>1.0629999999999999</v>
      </c>
      <c r="I100" t="s">
        <v>503</v>
      </c>
      <c r="J100" t="s">
        <v>4348</v>
      </c>
    </row>
    <row r="101" spans="1:10">
      <c r="A101" t="s">
        <v>4362</v>
      </c>
      <c r="B101" t="s">
        <v>116</v>
      </c>
      <c r="C101">
        <v>2</v>
      </c>
      <c r="E101">
        <v>33994.887900000002</v>
      </c>
      <c r="G101">
        <v>1.9E-3</v>
      </c>
      <c r="H101">
        <v>0.93400000000000005</v>
      </c>
      <c r="I101" t="s">
        <v>503</v>
      </c>
      <c r="J101" t="s">
        <v>4348</v>
      </c>
    </row>
    <row r="102" spans="1:10">
      <c r="A102" t="s">
        <v>4362</v>
      </c>
      <c r="B102" t="s">
        <v>116</v>
      </c>
      <c r="C102">
        <v>3</v>
      </c>
      <c r="E102">
        <v>35453.838100000001</v>
      </c>
      <c r="G102">
        <v>2.3E-3</v>
      </c>
      <c r="H102">
        <v>1.002</v>
      </c>
      <c r="I102" t="s">
        <v>503</v>
      </c>
      <c r="J102" t="s">
        <v>4348</v>
      </c>
    </row>
    <row r="103" spans="1:10">
      <c r="A103" t="s">
        <v>4362</v>
      </c>
      <c r="B103" t="s">
        <v>116</v>
      </c>
      <c r="C103">
        <v>4</v>
      </c>
      <c r="E103">
        <v>37269.885999999999</v>
      </c>
      <c r="G103">
        <v>2.0999999999999999E-3</v>
      </c>
      <c r="H103">
        <v>1.165</v>
      </c>
      <c r="I103" t="s">
        <v>503</v>
      </c>
      <c r="J103" t="s">
        <v>4348</v>
      </c>
    </row>
    <row r="104" spans="1:10">
      <c r="A104" t="s">
        <v>4360</v>
      </c>
      <c r="B104" t="s">
        <v>4363</v>
      </c>
      <c r="C104">
        <v>3</v>
      </c>
      <c r="E104">
        <v>34274.226999999999</v>
      </c>
      <c r="G104">
        <v>1.6E-2</v>
      </c>
      <c r="H104">
        <v>1.0649999999999999</v>
      </c>
      <c r="I104">
        <v>77</v>
      </c>
      <c r="J104" t="s">
        <v>4352</v>
      </c>
    </row>
    <row r="105" spans="1:10">
      <c r="A105" t="s">
        <v>4361</v>
      </c>
      <c r="B105" t="s">
        <v>81</v>
      </c>
      <c r="C105">
        <v>1</v>
      </c>
      <c r="E105">
        <v>34596.503799999999</v>
      </c>
      <c r="G105">
        <v>2.3999999999999998E-3</v>
      </c>
      <c r="H105">
        <v>0.97</v>
      </c>
      <c r="I105" t="s">
        <v>503</v>
      </c>
      <c r="J105" t="s">
        <v>4348</v>
      </c>
    </row>
    <row r="106" spans="1:10">
      <c r="A106" t="s">
        <v>4361</v>
      </c>
      <c r="B106" t="s">
        <v>81</v>
      </c>
      <c r="C106">
        <v>2</v>
      </c>
      <c r="E106">
        <v>36772.886400000003</v>
      </c>
      <c r="G106">
        <v>2.5000000000000001E-3</v>
      </c>
      <c r="H106">
        <v>1.153</v>
      </c>
      <c r="I106" t="s">
        <v>503</v>
      </c>
      <c r="J106" t="s">
        <v>4348</v>
      </c>
    </row>
    <row r="107" spans="1:10">
      <c r="A107" t="s">
        <v>4361</v>
      </c>
      <c r="B107" t="s">
        <v>81</v>
      </c>
      <c r="C107">
        <v>3</v>
      </c>
      <c r="E107">
        <v>38407.849000000002</v>
      </c>
      <c r="G107">
        <v>3.0000000000000001E-3</v>
      </c>
      <c r="H107">
        <v>1.296</v>
      </c>
      <c r="I107" t="s">
        <v>503</v>
      </c>
      <c r="J107" t="s">
        <v>4348</v>
      </c>
    </row>
    <row r="108" spans="1:10">
      <c r="A108" t="s">
        <v>4362</v>
      </c>
      <c r="B108" t="s">
        <v>66</v>
      </c>
      <c r="C108">
        <v>4</v>
      </c>
      <c r="E108">
        <v>34805.933499999999</v>
      </c>
      <c r="G108">
        <v>1.1000000000000001E-3</v>
      </c>
      <c r="H108">
        <v>0.99199999999999999</v>
      </c>
      <c r="I108" t="s">
        <v>503</v>
      </c>
      <c r="J108" t="s">
        <v>4348</v>
      </c>
    </row>
    <row r="109" spans="1:10">
      <c r="A109" t="s">
        <v>4362</v>
      </c>
      <c r="B109" t="s">
        <v>66</v>
      </c>
      <c r="C109">
        <v>5</v>
      </c>
      <c r="E109">
        <v>36419.298000000003</v>
      </c>
      <c r="G109">
        <v>0.01</v>
      </c>
      <c r="H109">
        <v>1.1180000000000001</v>
      </c>
      <c r="I109" t="s">
        <v>503</v>
      </c>
      <c r="J109" t="s">
        <v>4347</v>
      </c>
    </row>
    <row r="110" spans="1:10">
      <c r="A110" t="s">
        <v>4362</v>
      </c>
      <c r="B110" t="s">
        <v>66</v>
      </c>
      <c r="C110">
        <v>6</v>
      </c>
      <c r="E110">
        <v>37301.637000000002</v>
      </c>
      <c r="G110">
        <v>1.0999999999999999E-2</v>
      </c>
      <c r="H110" t="s">
        <v>4364</v>
      </c>
      <c r="I110" t="s">
        <v>503</v>
      </c>
      <c r="J110" t="s">
        <v>4347</v>
      </c>
    </row>
    <row r="111" spans="1:10">
      <c r="A111" t="s">
        <v>4361</v>
      </c>
      <c r="B111" t="s">
        <v>92</v>
      </c>
      <c r="C111">
        <v>3</v>
      </c>
      <c r="E111">
        <v>34877.081299999998</v>
      </c>
      <c r="G111">
        <v>2E-3</v>
      </c>
      <c r="H111">
        <v>0.95499999999999996</v>
      </c>
      <c r="I111" t="s">
        <v>503</v>
      </c>
      <c r="J111" t="s">
        <v>4348</v>
      </c>
    </row>
    <row r="112" spans="1:10">
      <c r="B112">
        <v>3499</v>
      </c>
      <c r="C112">
        <v>1</v>
      </c>
      <c r="E112">
        <v>34991.659</v>
      </c>
      <c r="G112">
        <v>0.01</v>
      </c>
      <c r="H112">
        <v>0.505</v>
      </c>
      <c r="I112" t="s">
        <v>503</v>
      </c>
      <c r="J112" t="s">
        <v>4347</v>
      </c>
    </row>
    <row r="113" spans="1:10">
      <c r="B113">
        <v>3512</v>
      </c>
      <c r="C113">
        <v>2</v>
      </c>
      <c r="E113">
        <v>35115.305999999997</v>
      </c>
      <c r="G113">
        <v>8.0000000000000002E-3</v>
      </c>
      <c r="H113">
        <v>1.1100000000000001</v>
      </c>
      <c r="I113" t="s">
        <v>503</v>
      </c>
      <c r="J113" t="s">
        <v>4347</v>
      </c>
    </row>
    <row r="114" spans="1:10">
      <c r="A114" t="s">
        <v>4365</v>
      </c>
      <c r="B114" t="s">
        <v>127</v>
      </c>
      <c r="C114">
        <v>1</v>
      </c>
      <c r="E114">
        <v>35284.326999999997</v>
      </c>
      <c r="G114">
        <v>8.0000000000000002E-3</v>
      </c>
      <c r="H114">
        <v>1.0609999999999999</v>
      </c>
      <c r="I114" t="s">
        <v>503</v>
      </c>
      <c r="J114" t="s">
        <v>4347</v>
      </c>
    </row>
    <row r="115" spans="1:10">
      <c r="A115" t="s">
        <v>4365</v>
      </c>
      <c r="B115" t="s">
        <v>110</v>
      </c>
      <c r="C115">
        <v>3</v>
      </c>
      <c r="E115">
        <v>36237.353000000003</v>
      </c>
      <c r="G115">
        <v>8.0000000000000002E-3</v>
      </c>
      <c r="H115">
        <v>1.0469999999999999</v>
      </c>
      <c r="I115" t="s">
        <v>503</v>
      </c>
      <c r="J115" t="s">
        <v>4347</v>
      </c>
    </row>
    <row r="116" spans="1:10">
      <c r="A116" t="s">
        <v>4366</v>
      </c>
      <c r="B116" t="s">
        <v>52</v>
      </c>
      <c r="C116">
        <v>3</v>
      </c>
      <c r="E116">
        <v>36523.851999999999</v>
      </c>
      <c r="G116">
        <v>1.0999999999999999E-2</v>
      </c>
      <c r="H116">
        <v>1.2649999999999999</v>
      </c>
      <c r="I116">
        <v>63</v>
      </c>
      <c r="J116" t="s">
        <v>4344</v>
      </c>
    </row>
    <row r="117" spans="1:10">
      <c r="A117" t="s">
        <v>4366</v>
      </c>
      <c r="B117" t="s">
        <v>52</v>
      </c>
      <c r="C117">
        <v>2</v>
      </c>
      <c r="E117">
        <v>37038.868000000002</v>
      </c>
      <c r="G117">
        <v>8.0000000000000002E-3</v>
      </c>
      <c r="H117">
        <v>1.0840000000000001</v>
      </c>
      <c r="I117">
        <v>65</v>
      </c>
      <c r="J117" t="s">
        <v>4344</v>
      </c>
    </row>
    <row r="118" spans="1:10">
      <c r="A118" t="s">
        <v>4366</v>
      </c>
      <c r="B118" t="s">
        <v>52</v>
      </c>
      <c r="C118">
        <v>1</v>
      </c>
      <c r="E118">
        <v>37336.222000000002</v>
      </c>
      <c r="G118">
        <v>1.2E-2</v>
      </c>
      <c r="H118">
        <v>0.48699999999999999</v>
      </c>
      <c r="I118">
        <v>63</v>
      </c>
      <c r="J118" t="s">
        <v>4344</v>
      </c>
    </row>
    <row r="119" spans="1:10">
      <c r="A119" t="s">
        <v>4362</v>
      </c>
      <c r="B119" t="s">
        <v>84</v>
      </c>
      <c r="C119">
        <v>4</v>
      </c>
      <c r="E119">
        <v>36850.091</v>
      </c>
      <c r="G119">
        <v>3.0000000000000001E-3</v>
      </c>
      <c r="H119">
        <v>1.0620000000000001</v>
      </c>
      <c r="I119" t="s">
        <v>503</v>
      </c>
      <c r="J119" t="s">
        <v>4348</v>
      </c>
    </row>
    <row r="120" spans="1:10">
      <c r="A120" t="s">
        <v>4362</v>
      </c>
      <c r="B120" t="s">
        <v>84</v>
      </c>
      <c r="C120">
        <v>5</v>
      </c>
      <c r="E120">
        <v>38845.497000000003</v>
      </c>
      <c r="G120">
        <v>8.9999999999999993E-3</v>
      </c>
      <c r="H120">
        <v>1.208</v>
      </c>
      <c r="I120" t="s">
        <v>503</v>
      </c>
      <c r="J120" t="s">
        <v>4347</v>
      </c>
    </row>
    <row r="121" spans="1:10">
      <c r="A121" t="s">
        <v>4365</v>
      </c>
      <c r="B121" t="s">
        <v>87</v>
      </c>
      <c r="C121">
        <v>1</v>
      </c>
      <c r="E121">
        <v>36949.271000000001</v>
      </c>
      <c r="G121">
        <v>0.01</v>
      </c>
      <c r="H121">
        <v>0.53100000000000003</v>
      </c>
      <c r="I121" t="s">
        <v>503</v>
      </c>
      <c r="J121" t="s">
        <v>4347</v>
      </c>
    </row>
    <row r="122" spans="1:10">
      <c r="A122" t="s">
        <v>4365</v>
      </c>
      <c r="B122" t="s">
        <v>87</v>
      </c>
      <c r="C122">
        <v>2</v>
      </c>
      <c r="E122">
        <v>38325.476999999999</v>
      </c>
      <c r="G122">
        <v>1.0999999999999999E-2</v>
      </c>
      <c r="H122">
        <v>1.153</v>
      </c>
      <c r="I122" t="s">
        <v>503</v>
      </c>
      <c r="J122" t="s">
        <v>4347</v>
      </c>
    </row>
    <row r="123" spans="1:10">
      <c r="A123" t="s">
        <v>4365</v>
      </c>
      <c r="B123" t="s">
        <v>87</v>
      </c>
      <c r="C123">
        <v>3</v>
      </c>
      <c r="E123">
        <v>39193.938999999998</v>
      </c>
      <c r="G123">
        <v>1.6000000000000001E-3</v>
      </c>
      <c r="H123">
        <v>1.2829999999999999</v>
      </c>
      <c r="I123" t="s">
        <v>503</v>
      </c>
      <c r="J123" t="s">
        <v>4348</v>
      </c>
    </row>
    <row r="124" spans="1:10">
      <c r="A124" t="s">
        <v>4365</v>
      </c>
      <c r="B124" t="s">
        <v>100</v>
      </c>
      <c r="C124">
        <v>0</v>
      </c>
      <c r="E124">
        <v>37843.707000000002</v>
      </c>
      <c r="G124">
        <v>2.8000000000000001E-2</v>
      </c>
      <c r="H124">
        <v>0</v>
      </c>
      <c r="I124" t="s">
        <v>503</v>
      </c>
      <c r="J124" t="s">
        <v>4347</v>
      </c>
    </row>
    <row r="125" spans="1:10">
      <c r="A125" t="s">
        <v>4365</v>
      </c>
      <c r="B125" t="s">
        <v>100</v>
      </c>
      <c r="C125">
        <v>1</v>
      </c>
      <c r="E125">
        <v>38151.760999999999</v>
      </c>
      <c r="G125">
        <v>0.02</v>
      </c>
      <c r="H125">
        <v>1.4330000000000001</v>
      </c>
      <c r="I125" t="s">
        <v>503</v>
      </c>
      <c r="J125" t="s">
        <v>4347</v>
      </c>
    </row>
    <row r="126" spans="1:10">
      <c r="A126" t="s">
        <v>4365</v>
      </c>
      <c r="B126" t="s">
        <v>100</v>
      </c>
      <c r="C126">
        <v>2</v>
      </c>
      <c r="E126">
        <v>39435.203399999999</v>
      </c>
      <c r="G126">
        <v>2.5000000000000001E-3</v>
      </c>
      <c r="H126">
        <v>1.355</v>
      </c>
      <c r="I126" t="s">
        <v>503</v>
      </c>
      <c r="J126" t="s">
        <v>4348</v>
      </c>
    </row>
    <row r="127" spans="1:10">
      <c r="A127" t="s">
        <v>4366</v>
      </c>
      <c r="B127" t="s">
        <v>4367</v>
      </c>
      <c r="C127">
        <v>2</v>
      </c>
      <c r="E127">
        <v>38289.406000000003</v>
      </c>
      <c r="G127">
        <v>8.9999999999999993E-3</v>
      </c>
      <c r="H127">
        <v>1.085</v>
      </c>
      <c r="I127">
        <v>69</v>
      </c>
      <c r="J127" t="s">
        <v>4344</v>
      </c>
    </row>
    <row r="128" spans="1:10">
      <c r="A128" t="s">
        <v>4368</v>
      </c>
      <c r="B128" t="s">
        <v>266</v>
      </c>
      <c r="C128">
        <v>0</v>
      </c>
      <c r="E128">
        <v>38366.692999999999</v>
      </c>
      <c r="G128">
        <v>1.6E-2</v>
      </c>
      <c r="H128">
        <v>0</v>
      </c>
      <c r="I128" t="s">
        <v>503</v>
      </c>
      <c r="J128" t="s">
        <v>4352</v>
      </c>
    </row>
    <row r="129" spans="1:10">
      <c r="A129" t="s">
        <v>4361</v>
      </c>
      <c r="B129" t="s">
        <v>69</v>
      </c>
      <c r="C129">
        <v>4</v>
      </c>
      <c r="E129">
        <v>38987.919699999999</v>
      </c>
      <c r="G129">
        <v>1.5E-3</v>
      </c>
      <c r="H129">
        <v>1.1419999999999999</v>
      </c>
      <c r="I129" t="s">
        <v>503</v>
      </c>
      <c r="J129" t="s">
        <v>4348</v>
      </c>
    </row>
    <row r="130" spans="1:10">
      <c r="A130" t="s">
        <v>4369</v>
      </c>
      <c r="B130" t="s">
        <v>1739</v>
      </c>
      <c r="C130">
        <v>3</v>
      </c>
      <c r="E130">
        <v>39127.652000000002</v>
      </c>
      <c r="G130">
        <v>8.0000000000000002E-3</v>
      </c>
      <c r="H130">
        <v>1.3160000000000001</v>
      </c>
      <c r="I130" t="s">
        <v>503</v>
      </c>
      <c r="J130" t="s">
        <v>4347</v>
      </c>
    </row>
    <row r="131" spans="1:10">
      <c r="A131" t="s">
        <v>4370</v>
      </c>
      <c r="B131" t="s">
        <v>4371</v>
      </c>
      <c r="C131">
        <v>1</v>
      </c>
      <c r="E131">
        <v>39286.213000000003</v>
      </c>
      <c r="G131">
        <v>0.01</v>
      </c>
      <c r="H131">
        <v>0.216</v>
      </c>
      <c r="I131" t="s">
        <v>503</v>
      </c>
      <c r="J131" t="s">
        <v>4347</v>
      </c>
    </row>
    <row r="132" spans="1:10">
      <c r="A132" t="s">
        <v>4370</v>
      </c>
      <c r="B132" t="s">
        <v>4371</v>
      </c>
      <c r="C132">
        <v>2</v>
      </c>
      <c r="E132">
        <v>39788.925999999999</v>
      </c>
      <c r="G132">
        <v>8.0000000000000002E-3</v>
      </c>
      <c r="H132">
        <v>1.0089999999999999</v>
      </c>
      <c r="I132" t="s">
        <v>503</v>
      </c>
      <c r="J132" t="s">
        <v>4347</v>
      </c>
    </row>
    <row r="133" spans="1:10">
      <c r="A133" t="s">
        <v>4370</v>
      </c>
      <c r="B133" t="s">
        <v>4371</v>
      </c>
      <c r="C133">
        <v>3</v>
      </c>
      <c r="E133">
        <v>40882.107000000004</v>
      </c>
      <c r="G133">
        <v>8.9999999999999993E-3</v>
      </c>
      <c r="H133">
        <v>1.23</v>
      </c>
      <c r="I133" t="s">
        <v>503</v>
      </c>
      <c r="J133" t="s">
        <v>4347</v>
      </c>
    </row>
    <row r="134" spans="1:10">
      <c r="A134" t="s">
        <v>4370</v>
      </c>
      <c r="B134" t="s">
        <v>4371</v>
      </c>
      <c r="C134">
        <v>4</v>
      </c>
      <c r="E134">
        <v>42283.572999999997</v>
      </c>
      <c r="G134">
        <v>8.9999999999999993E-3</v>
      </c>
      <c r="H134">
        <v>1.353</v>
      </c>
      <c r="I134" t="s">
        <v>503</v>
      </c>
      <c r="J134" t="s">
        <v>4347</v>
      </c>
    </row>
    <row r="135" spans="1:10">
      <c r="A135" t="s">
        <v>4370</v>
      </c>
      <c r="B135" t="s">
        <v>4371</v>
      </c>
      <c r="C135">
        <v>5</v>
      </c>
      <c r="E135">
        <v>44132.048000000003</v>
      </c>
      <c r="G135">
        <v>1.2E-2</v>
      </c>
      <c r="H135">
        <v>1.4</v>
      </c>
      <c r="I135" t="s">
        <v>503</v>
      </c>
      <c r="J135" t="s">
        <v>4347</v>
      </c>
    </row>
    <row r="136" spans="1:10">
      <c r="A136" t="s">
        <v>4372</v>
      </c>
      <c r="B136" t="s">
        <v>4373</v>
      </c>
      <c r="C136">
        <v>1</v>
      </c>
      <c r="E136">
        <v>39546.370999999999</v>
      </c>
      <c r="G136">
        <v>0.01</v>
      </c>
      <c r="H136">
        <v>0.81499999999999995</v>
      </c>
      <c r="I136" t="s">
        <v>503</v>
      </c>
      <c r="J136" t="s">
        <v>4347</v>
      </c>
    </row>
    <row r="137" spans="1:10">
      <c r="A137" t="s">
        <v>4372</v>
      </c>
      <c r="B137" t="s">
        <v>4373</v>
      </c>
      <c r="C137">
        <v>2</v>
      </c>
      <c r="E137">
        <v>40513.56</v>
      </c>
      <c r="G137">
        <v>8.0000000000000002E-3</v>
      </c>
      <c r="H137">
        <v>1.091</v>
      </c>
      <c r="I137" t="s">
        <v>503</v>
      </c>
      <c r="J137" t="s">
        <v>4347</v>
      </c>
    </row>
    <row r="138" spans="1:10">
      <c r="A138" t="s">
        <v>4372</v>
      </c>
      <c r="B138" t="s">
        <v>4373</v>
      </c>
      <c r="C138">
        <v>3</v>
      </c>
      <c r="E138">
        <v>42061.62</v>
      </c>
      <c r="G138">
        <v>0.01</v>
      </c>
      <c r="H138" t="s">
        <v>4374</v>
      </c>
      <c r="I138" t="s">
        <v>503</v>
      </c>
      <c r="J138" t="s">
        <v>4347</v>
      </c>
    </row>
    <row r="139" spans="1:10">
      <c r="A139" t="s">
        <v>4375</v>
      </c>
      <c r="B139" t="s">
        <v>94</v>
      </c>
      <c r="C139">
        <v>1</v>
      </c>
      <c r="E139">
        <v>39704.402000000002</v>
      </c>
      <c r="G139">
        <v>1.4E-2</v>
      </c>
      <c r="H139">
        <v>0.61799999999999999</v>
      </c>
      <c r="I139" t="s">
        <v>503</v>
      </c>
      <c r="J139" t="s">
        <v>4347</v>
      </c>
    </row>
    <row r="140" spans="1:10">
      <c r="A140" t="s">
        <v>4375</v>
      </c>
      <c r="B140" t="s">
        <v>94</v>
      </c>
      <c r="C140">
        <v>2</v>
      </c>
      <c r="E140">
        <v>40267.341</v>
      </c>
      <c r="G140">
        <v>8.9999999999999993E-3</v>
      </c>
      <c r="H140">
        <v>1.0820000000000001</v>
      </c>
      <c r="I140" t="s">
        <v>503</v>
      </c>
      <c r="J140" t="s">
        <v>4347</v>
      </c>
    </row>
    <row r="141" spans="1:10">
      <c r="A141" t="s">
        <v>4375</v>
      </c>
      <c r="B141" t="s">
        <v>94</v>
      </c>
      <c r="C141">
        <v>3</v>
      </c>
      <c r="E141">
        <v>40767.466</v>
      </c>
      <c r="G141">
        <v>1.6E-2</v>
      </c>
      <c r="H141">
        <v>1.2150000000000001</v>
      </c>
      <c r="I141" t="s">
        <v>503</v>
      </c>
      <c r="J141" t="s">
        <v>4347</v>
      </c>
    </row>
    <row r="142" spans="1:10">
      <c r="A142" t="s">
        <v>4376</v>
      </c>
      <c r="B142" t="s">
        <v>4377</v>
      </c>
      <c r="C142">
        <v>1</v>
      </c>
      <c r="E142">
        <v>39790.707000000002</v>
      </c>
      <c r="G142">
        <v>1.0999999999999999E-2</v>
      </c>
      <c r="H142">
        <v>0.59099999999999997</v>
      </c>
      <c r="I142" t="s">
        <v>503</v>
      </c>
      <c r="J142" t="s">
        <v>4347</v>
      </c>
    </row>
    <row r="143" spans="1:10">
      <c r="A143" t="s">
        <v>4376</v>
      </c>
      <c r="B143" t="s">
        <v>4377</v>
      </c>
      <c r="C143">
        <v>2</v>
      </c>
      <c r="E143">
        <v>40636.303999999996</v>
      </c>
      <c r="G143">
        <v>8.0000000000000002E-3</v>
      </c>
      <c r="H143">
        <v>1.0649999999999999</v>
      </c>
      <c r="I143" t="s">
        <v>503</v>
      </c>
      <c r="J143" t="s">
        <v>4347</v>
      </c>
    </row>
    <row r="144" spans="1:10">
      <c r="A144" t="s">
        <v>4376</v>
      </c>
      <c r="B144" t="s">
        <v>4377</v>
      </c>
      <c r="C144">
        <v>3</v>
      </c>
      <c r="E144">
        <v>41475.864000000001</v>
      </c>
      <c r="G144">
        <v>8.0000000000000002E-3</v>
      </c>
      <c r="H144">
        <v>1.2769999999999999</v>
      </c>
      <c r="I144" t="s">
        <v>503</v>
      </c>
      <c r="J144" t="s">
        <v>4347</v>
      </c>
    </row>
    <row r="145" spans="1:10">
      <c r="A145" t="s">
        <v>4376</v>
      </c>
      <c r="B145" t="s">
        <v>4377</v>
      </c>
      <c r="C145">
        <v>4</v>
      </c>
      <c r="E145">
        <v>42670.845999999998</v>
      </c>
      <c r="G145">
        <v>0.01</v>
      </c>
      <c r="H145">
        <v>1.2370000000000001</v>
      </c>
      <c r="I145" t="s">
        <v>503</v>
      </c>
      <c r="J145" t="s">
        <v>4347</v>
      </c>
    </row>
    <row r="146" spans="1:10">
      <c r="A146" t="s">
        <v>4378</v>
      </c>
      <c r="B146" t="s">
        <v>15</v>
      </c>
      <c r="C146">
        <v>0</v>
      </c>
      <c r="E146">
        <v>39843.885999999999</v>
      </c>
      <c r="G146">
        <v>1.4999999999999999E-2</v>
      </c>
      <c r="I146">
        <v>82</v>
      </c>
      <c r="J146" t="s">
        <v>4344</v>
      </c>
    </row>
    <row r="147" spans="1:10">
      <c r="A147" t="s">
        <v>4378</v>
      </c>
      <c r="B147" t="s">
        <v>15</v>
      </c>
      <c r="C147">
        <v>1</v>
      </c>
      <c r="E147">
        <v>40618.646999999997</v>
      </c>
      <c r="G147">
        <v>8.9999999999999993E-3</v>
      </c>
      <c r="H147">
        <v>1.5109999999999999</v>
      </c>
      <c r="I147">
        <v>92</v>
      </c>
      <c r="J147" t="s">
        <v>4344</v>
      </c>
    </row>
    <row r="148" spans="1:10">
      <c r="A148" t="s">
        <v>4378</v>
      </c>
      <c r="B148" t="s">
        <v>15</v>
      </c>
      <c r="C148">
        <v>2</v>
      </c>
      <c r="E148">
        <v>41211.057000000001</v>
      </c>
      <c r="G148">
        <v>8.9999999999999993E-3</v>
      </c>
      <c r="H148">
        <v>1.444</v>
      </c>
      <c r="I148">
        <v>96</v>
      </c>
      <c r="J148" t="s">
        <v>4344</v>
      </c>
    </row>
    <row r="149" spans="1:10">
      <c r="A149" t="s">
        <v>4378</v>
      </c>
      <c r="B149" t="s">
        <v>15</v>
      </c>
      <c r="C149">
        <v>3</v>
      </c>
      <c r="E149">
        <v>41739.415000000001</v>
      </c>
      <c r="G149">
        <v>8.9999999999999993E-3</v>
      </c>
      <c r="H149">
        <v>1.3380000000000001</v>
      </c>
      <c r="I149">
        <v>96</v>
      </c>
      <c r="J149" t="s">
        <v>4344</v>
      </c>
    </row>
    <row r="150" spans="1:10">
      <c r="A150" t="s">
        <v>4378</v>
      </c>
      <c r="B150" t="s">
        <v>15</v>
      </c>
      <c r="C150">
        <v>4</v>
      </c>
      <c r="E150">
        <v>42175.652000000002</v>
      </c>
      <c r="G150">
        <v>0.01</v>
      </c>
      <c r="H150">
        <v>1.2809999999999999</v>
      </c>
      <c r="I150">
        <v>89</v>
      </c>
      <c r="J150" t="s">
        <v>4344</v>
      </c>
    </row>
    <row r="151" spans="1:10">
      <c r="A151" t="s">
        <v>4369</v>
      </c>
      <c r="B151" t="s">
        <v>4379</v>
      </c>
      <c r="C151">
        <v>2</v>
      </c>
      <c r="E151">
        <v>40130.254000000001</v>
      </c>
      <c r="G151">
        <v>7.0000000000000001E-3</v>
      </c>
      <c r="H151">
        <v>1.2110000000000001</v>
      </c>
      <c r="I151" t="s">
        <v>503</v>
      </c>
      <c r="J151" t="s">
        <v>4347</v>
      </c>
    </row>
    <row r="152" spans="1:10">
      <c r="A152" t="s">
        <v>4365</v>
      </c>
      <c r="B152" t="s">
        <v>879</v>
      </c>
      <c r="C152">
        <v>2</v>
      </c>
      <c r="E152">
        <v>40194.459000000003</v>
      </c>
      <c r="G152">
        <v>2.5999999999999999E-3</v>
      </c>
      <c r="H152">
        <v>0.51100000000000001</v>
      </c>
      <c r="I152" t="s">
        <v>503</v>
      </c>
      <c r="J152" t="s">
        <v>4348</v>
      </c>
    </row>
    <row r="153" spans="1:10">
      <c r="A153" t="s">
        <v>4365</v>
      </c>
      <c r="B153" t="s">
        <v>879</v>
      </c>
      <c r="C153">
        <v>3</v>
      </c>
      <c r="E153">
        <v>43104.728000000003</v>
      </c>
      <c r="G153">
        <v>1.0999999999999999E-2</v>
      </c>
      <c r="H153">
        <v>1.0780000000000001</v>
      </c>
      <c r="I153" t="s">
        <v>503</v>
      </c>
      <c r="J153" t="s">
        <v>4347</v>
      </c>
    </row>
    <row r="154" spans="1:10">
      <c r="A154" t="s">
        <v>4365</v>
      </c>
      <c r="B154" t="s">
        <v>879</v>
      </c>
      <c r="C154">
        <v>4</v>
      </c>
      <c r="E154">
        <v>45321.502999999997</v>
      </c>
      <c r="G154">
        <v>1.7999999999999999E-2</v>
      </c>
      <c r="I154" t="s">
        <v>503</v>
      </c>
      <c r="J154" t="s">
        <v>4347</v>
      </c>
    </row>
    <row r="155" spans="1:10">
      <c r="A155" t="s">
        <v>4375</v>
      </c>
      <c r="B155" t="s">
        <v>928</v>
      </c>
      <c r="C155">
        <v>1</v>
      </c>
      <c r="E155">
        <v>40704.203000000001</v>
      </c>
      <c r="G155">
        <v>2.5000000000000001E-2</v>
      </c>
      <c r="H155">
        <v>1.153</v>
      </c>
      <c r="I155" t="s">
        <v>503</v>
      </c>
      <c r="J155" t="s">
        <v>4347</v>
      </c>
    </row>
    <row r="156" spans="1:10">
      <c r="A156" t="s">
        <v>4380</v>
      </c>
      <c r="B156" t="s">
        <v>834</v>
      </c>
      <c r="C156">
        <v>2</v>
      </c>
      <c r="E156">
        <v>40957.550000000003</v>
      </c>
      <c r="G156">
        <v>1.2999999999999999E-2</v>
      </c>
      <c r="H156" t="s">
        <v>4381</v>
      </c>
      <c r="I156" t="s">
        <v>503</v>
      </c>
      <c r="J156" t="s">
        <v>4347</v>
      </c>
    </row>
    <row r="157" spans="1:10">
      <c r="A157" t="s">
        <v>4380</v>
      </c>
      <c r="B157" t="s">
        <v>834</v>
      </c>
      <c r="C157">
        <v>3</v>
      </c>
      <c r="E157">
        <v>41422.491000000002</v>
      </c>
      <c r="G157">
        <v>1.2999999999999999E-2</v>
      </c>
      <c r="H157">
        <v>0.93400000000000005</v>
      </c>
      <c r="I157" t="s">
        <v>503</v>
      </c>
      <c r="J157" t="s">
        <v>4347</v>
      </c>
    </row>
    <row r="158" spans="1:10">
      <c r="A158" t="s">
        <v>4380</v>
      </c>
      <c r="B158" t="s">
        <v>834</v>
      </c>
      <c r="C158">
        <v>4</v>
      </c>
      <c r="E158">
        <v>42871.036</v>
      </c>
      <c r="G158">
        <v>1.6E-2</v>
      </c>
      <c r="H158">
        <v>1.1439999999999999</v>
      </c>
      <c r="I158" t="s">
        <v>503</v>
      </c>
      <c r="J158" t="s">
        <v>4347</v>
      </c>
    </row>
    <row r="159" spans="1:10">
      <c r="A159" t="s">
        <v>4380</v>
      </c>
      <c r="B159" t="s">
        <v>834</v>
      </c>
      <c r="C159">
        <v>5</v>
      </c>
      <c r="E159">
        <v>44537.517</v>
      </c>
      <c r="G159">
        <v>1.7000000000000001E-2</v>
      </c>
      <c r="H159">
        <v>1.2470000000000001</v>
      </c>
      <c r="I159" t="s">
        <v>503</v>
      </c>
      <c r="J159" t="s">
        <v>4347</v>
      </c>
    </row>
    <row r="160" spans="1:10">
      <c r="A160" t="s">
        <v>4375</v>
      </c>
      <c r="B160" t="s">
        <v>901</v>
      </c>
      <c r="C160">
        <v>0</v>
      </c>
      <c r="E160">
        <v>41133.82</v>
      </c>
      <c r="G160">
        <v>0.03</v>
      </c>
      <c r="H160">
        <v>0</v>
      </c>
      <c r="I160" t="s">
        <v>503</v>
      </c>
      <c r="J160" t="s">
        <v>4347</v>
      </c>
    </row>
    <row r="161" spans="1:10">
      <c r="A161" t="s">
        <v>4375</v>
      </c>
      <c r="B161" t="s">
        <v>901</v>
      </c>
      <c r="C161">
        <v>1</v>
      </c>
      <c r="E161">
        <v>41193.944000000003</v>
      </c>
      <c r="G161">
        <v>1.2999999999999999E-2</v>
      </c>
      <c r="H161">
        <v>1.319</v>
      </c>
      <c r="I161" t="s">
        <v>503</v>
      </c>
      <c r="J161" t="s">
        <v>4347</v>
      </c>
    </row>
    <row r="162" spans="1:10">
      <c r="A162" t="s">
        <v>4375</v>
      </c>
      <c r="B162" t="s">
        <v>901</v>
      </c>
      <c r="C162">
        <v>2</v>
      </c>
      <c r="E162">
        <v>42075.82</v>
      </c>
      <c r="G162">
        <v>1.4E-2</v>
      </c>
      <c r="H162">
        <v>1.232</v>
      </c>
      <c r="I162" t="s">
        <v>503</v>
      </c>
      <c r="J162" t="s">
        <v>4347</v>
      </c>
    </row>
    <row r="163" spans="1:10">
      <c r="A163" t="s">
        <v>4382</v>
      </c>
      <c r="B163" t="s">
        <v>910</v>
      </c>
      <c r="C163">
        <v>4</v>
      </c>
      <c r="E163">
        <v>41175.411</v>
      </c>
      <c r="G163">
        <v>1.2E-2</v>
      </c>
      <c r="H163">
        <v>1.2030000000000001</v>
      </c>
      <c r="I163" t="s">
        <v>503</v>
      </c>
      <c r="J163" t="s">
        <v>4347</v>
      </c>
    </row>
    <row r="164" spans="1:10">
      <c r="A164" t="s">
        <v>4382</v>
      </c>
      <c r="B164" t="s">
        <v>910</v>
      </c>
      <c r="C164">
        <v>3</v>
      </c>
      <c r="E164">
        <v>41824.610999999997</v>
      </c>
      <c r="G164">
        <v>8.9999999999999993E-3</v>
      </c>
      <c r="H164" t="s">
        <v>4383</v>
      </c>
      <c r="I164" t="s">
        <v>503</v>
      </c>
      <c r="J164" t="s">
        <v>4347</v>
      </c>
    </row>
    <row r="165" spans="1:10">
      <c r="A165" t="s">
        <v>4382</v>
      </c>
      <c r="B165" t="s">
        <v>910</v>
      </c>
      <c r="C165">
        <v>2</v>
      </c>
      <c r="E165">
        <v>42302.129000000001</v>
      </c>
      <c r="G165">
        <v>0.01</v>
      </c>
      <c r="H165">
        <v>0.86099999999999999</v>
      </c>
      <c r="I165" t="s">
        <v>503</v>
      </c>
      <c r="J165" t="s">
        <v>4347</v>
      </c>
    </row>
    <row r="166" spans="1:10">
      <c r="A166" t="s">
        <v>4370</v>
      </c>
      <c r="B166" t="s">
        <v>48</v>
      </c>
      <c r="C166">
        <v>2</v>
      </c>
      <c r="E166">
        <v>41298.383000000002</v>
      </c>
      <c r="G166">
        <v>7.0000000000000001E-3</v>
      </c>
      <c r="H166">
        <v>0.82599999999999996</v>
      </c>
      <c r="I166" t="s">
        <v>503</v>
      </c>
      <c r="J166" t="s">
        <v>4347</v>
      </c>
    </row>
    <row r="167" spans="1:10">
      <c r="A167" t="s">
        <v>4370</v>
      </c>
      <c r="B167" t="s">
        <v>48</v>
      </c>
      <c r="C167">
        <v>3</v>
      </c>
      <c r="E167">
        <v>43489.326999999997</v>
      </c>
      <c r="G167">
        <v>8.0000000000000002E-3</v>
      </c>
      <c r="H167" t="s">
        <v>4384</v>
      </c>
      <c r="I167" t="s">
        <v>503</v>
      </c>
      <c r="J167" t="s">
        <v>4347</v>
      </c>
    </row>
    <row r="168" spans="1:10">
      <c r="A168" t="s">
        <v>4370</v>
      </c>
      <c r="B168" t="s">
        <v>48</v>
      </c>
      <c r="C168">
        <v>4</v>
      </c>
      <c r="E168">
        <v>44777.561999999998</v>
      </c>
      <c r="G168">
        <v>8.0000000000000002E-3</v>
      </c>
      <c r="H168">
        <v>1.248</v>
      </c>
      <c r="I168" t="s">
        <v>503</v>
      </c>
      <c r="J168" t="s">
        <v>4347</v>
      </c>
    </row>
    <row r="169" spans="1:10">
      <c r="A169" t="s">
        <v>4365</v>
      </c>
      <c r="B169" t="s">
        <v>889</v>
      </c>
      <c r="C169">
        <v>2</v>
      </c>
      <c r="E169">
        <v>41768.699999999997</v>
      </c>
      <c r="G169">
        <v>1.0999999999999999E-2</v>
      </c>
      <c r="H169">
        <v>0.92600000000000005</v>
      </c>
      <c r="I169" t="s">
        <v>503</v>
      </c>
      <c r="J169" t="s">
        <v>4347</v>
      </c>
    </row>
    <row r="170" spans="1:10">
      <c r="A170" t="s">
        <v>4385</v>
      </c>
      <c r="B170" t="s">
        <v>941</v>
      </c>
      <c r="C170">
        <v>1</v>
      </c>
      <c r="E170">
        <v>42036.432999999997</v>
      </c>
      <c r="G170">
        <v>1.2999999999999999E-2</v>
      </c>
      <c r="H170">
        <v>1.2290000000000001</v>
      </c>
      <c r="I170" t="s">
        <v>503</v>
      </c>
      <c r="J170" t="s">
        <v>4347</v>
      </c>
    </row>
    <row r="171" spans="1:10">
      <c r="A171" t="s">
        <v>4386</v>
      </c>
      <c r="B171" t="s">
        <v>159</v>
      </c>
      <c r="C171">
        <v>1</v>
      </c>
      <c r="E171">
        <v>42111.735999999997</v>
      </c>
      <c r="G171">
        <v>0.01</v>
      </c>
      <c r="H171">
        <v>0.75600000000000001</v>
      </c>
      <c r="I171" t="s">
        <v>503</v>
      </c>
      <c r="J171" t="s">
        <v>4347</v>
      </c>
    </row>
    <row r="172" spans="1:10">
      <c r="A172" t="s">
        <v>4386</v>
      </c>
      <c r="B172" t="s">
        <v>159</v>
      </c>
      <c r="C172">
        <v>3</v>
      </c>
      <c r="E172">
        <v>42360.915000000001</v>
      </c>
      <c r="G172">
        <v>8.9999999999999993E-3</v>
      </c>
      <c r="H172">
        <v>1.143</v>
      </c>
      <c r="I172" t="s">
        <v>503</v>
      </c>
      <c r="J172" t="s">
        <v>4347</v>
      </c>
    </row>
    <row r="173" spans="1:10">
      <c r="A173" t="s">
        <v>4386</v>
      </c>
      <c r="B173" t="s">
        <v>159</v>
      </c>
      <c r="C173">
        <v>2</v>
      </c>
      <c r="E173">
        <v>42719.599000000002</v>
      </c>
      <c r="G173">
        <v>8.9999999999999993E-3</v>
      </c>
      <c r="H173">
        <v>1.1819999999999999</v>
      </c>
      <c r="I173" t="s">
        <v>503</v>
      </c>
      <c r="J173" t="s">
        <v>4347</v>
      </c>
    </row>
    <row r="174" spans="1:10">
      <c r="A174" t="s">
        <v>4362</v>
      </c>
      <c r="B174" t="s">
        <v>74</v>
      </c>
      <c r="C174">
        <v>5</v>
      </c>
      <c r="E174">
        <v>42166.64</v>
      </c>
      <c r="F174" t="s">
        <v>34</v>
      </c>
      <c r="G174">
        <v>0.05</v>
      </c>
      <c r="I174" t="s">
        <v>503</v>
      </c>
      <c r="J174" t="s">
        <v>4347</v>
      </c>
    </row>
    <row r="175" spans="1:10">
      <c r="A175" t="s">
        <v>4362</v>
      </c>
      <c r="B175" t="s">
        <v>939</v>
      </c>
      <c r="C175">
        <v>3</v>
      </c>
      <c r="E175">
        <v>42395.692999999999</v>
      </c>
      <c r="G175">
        <v>1.0999999999999999E-2</v>
      </c>
      <c r="H175">
        <v>1.0620000000000001</v>
      </c>
      <c r="I175" t="s">
        <v>503</v>
      </c>
      <c r="J175" t="s">
        <v>4347</v>
      </c>
    </row>
    <row r="176" spans="1:10">
      <c r="A176" t="s">
        <v>4362</v>
      </c>
      <c r="B176" t="s">
        <v>111</v>
      </c>
      <c r="C176">
        <v>4</v>
      </c>
      <c r="E176">
        <v>42453.760000000002</v>
      </c>
      <c r="G176">
        <v>1.4999999999999999E-2</v>
      </c>
      <c r="H176">
        <v>1.034</v>
      </c>
      <c r="I176" t="s">
        <v>503</v>
      </c>
      <c r="J176" t="s">
        <v>4347</v>
      </c>
    </row>
    <row r="177" spans="1:10">
      <c r="A177" t="s">
        <v>4385</v>
      </c>
      <c r="B177" t="s">
        <v>117</v>
      </c>
      <c r="C177">
        <v>1</v>
      </c>
      <c r="E177">
        <v>42485.481</v>
      </c>
      <c r="G177">
        <v>1.2999999999999999E-2</v>
      </c>
      <c r="H177">
        <v>0.85899999999999999</v>
      </c>
      <c r="I177" t="s">
        <v>503</v>
      </c>
      <c r="J177" t="s">
        <v>4347</v>
      </c>
    </row>
    <row r="178" spans="1:10">
      <c r="A178" t="s">
        <v>4385</v>
      </c>
      <c r="B178" t="s">
        <v>117</v>
      </c>
      <c r="C178">
        <v>3</v>
      </c>
      <c r="E178">
        <v>44463.504000000001</v>
      </c>
      <c r="G178">
        <v>1.4999999999999999E-2</v>
      </c>
      <c r="H178">
        <v>1.292</v>
      </c>
      <c r="I178" t="s">
        <v>503</v>
      </c>
      <c r="J178" t="s">
        <v>4347</v>
      </c>
    </row>
    <row r="179" spans="1:10">
      <c r="A179" t="s">
        <v>4386</v>
      </c>
      <c r="B179" t="s">
        <v>1717</v>
      </c>
      <c r="C179">
        <v>1</v>
      </c>
      <c r="E179">
        <v>42782.550999999999</v>
      </c>
      <c r="G179">
        <v>1.2E-2</v>
      </c>
      <c r="H179">
        <v>1.53</v>
      </c>
      <c r="I179" t="s">
        <v>503</v>
      </c>
      <c r="J179" t="s">
        <v>4347</v>
      </c>
    </row>
    <row r="180" spans="1:10">
      <c r="A180" t="s">
        <v>4386</v>
      </c>
      <c r="B180" t="s">
        <v>1717</v>
      </c>
      <c r="C180">
        <v>3</v>
      </c>
      <c r="E180">
        <v>43013.02</v>
      </c>
      <c r="F180" t="s">
        <v>34</v>
      </c>
      <c r="G180">
        <v>7.0000000000000007E-2</v>
      </c>
      <c r="I180" t="s">
        <v>503</v>
      </c>
      <c r="J180" t="s">
        <v>4347</v>
      </c>
    </row>
    <row r="181" spans="1:10">
      <c r="A181" t="s">
        <v>4386</v>
      </c>
      <c r="B181" t="s">
        <v>1717</v>
      </c>
      <c r="C181">
        <v>2</v>
      </c>
      <c r="E181">
        <v>43016.487999999998</v>
      </c>
      <c r="G181">
        <v>8.0000000000000002E-3</v>
      </c>
      <c r="I181" t="s">
        <v>503</v>
      </c>
      <c r="J181" t="s">
        <v>4347</v>
      </c>
    </row>
    <row r="182" spans="1:10">
      <c r="A182" t="s">
        <v>4386</v>
      </c>
      <c r="B182" t="s">
        <v>1717</v>
      </c>
      <c r="C182">
        <v>4</v>
      </c>
      <c r="E182">
        <v>43838.364999999998</v>
      </c>
      <c r="G182">
        <v>0.01</v>
      </c>
      <c r="H182">
        <v>1.2949999999999999</v>
      </c>
      <c r="I182" t="s">
        <v>503</v>
      </c>
      <c r="J182" t="s">
        <v>4347</v>
      </c>
    </row>
    <row r="183" spans="1:10">
      <c r="A183" t="s">
        <v>4387</v>
      </c>
      <c r="B183" t="s">
        <v>4388</v>
      </c>
      <c r="C183">
        <v>0</v>
      </c>
      <c r="E183">
        <v>43131.468000000001</v>
      </c>
      <c r="G183">
        <v>1.7999999999999999E-2</v>
      </c>
      <c r="H183">
        <v>0</v>
      </c>
      <c r="I183" t="s">
        <v>503</v>
      </c>
      <c r="J183" t="s">
        <v>4352</v>
      </c>
    </row>
    <row r="184" spans="1:10">
      <c r="A184" t="s">
        <v>4375</v>
      </c>
      <c r="B184" t="s">
        <v>933</v>
      </c>
      <c r="C184">
        <v>2</v>
      </c>
      <c r="E184">
        <v>43517.838000000003</v>
      </c>
      <c r="G184">
        <v>1.0999999999999999E-2</v>
      </c>
      <c r="H184">
        <v>0.997</v>
      </c>
      <c r="I184" t="s">
        <v>503</v>
      </c>
      <c r="J184" t="s">
        <v>4347</v>
      </c>
    </row>
    <row r="185" spans="1:10">
      <c r="A185" t="s">
        <v>4389</v>
      </c>
      <c r="B185" t="s">
        <v>4390</v>
      </c>
      <c r="C185">
        <v>1</v>
      </c>
      <c r="E185">
        <v>43561.796000000002</v>
      </c>
      <c r="G185">
        <v>1.2E-2</v>
      </c>
      <c r="H185">
        <v>1.4670000000000001</v>
      </c>
      <c r="I185" t="s">
        <v>503</v>
      </c>
      <c r="J185" t="s">
        <v>4347</v>
      </c>
    </row>
    <row r="186" spans="1:10">
      <c r="A186" t="s">
        <v>4389</v>
      </c>
      <c r="B186" t="s">
        <v>4390</v>
      </c>
      <c r="C186">
        <v>2</v>
      </c>
      <c r="E186">
        <v>44375.472000000002</v>
      </c>
      <c r="G186">
        <v>8.0000000000000002E-3</v>
      </c>
      <c r="H186">
        <v>1.335</v>
      </c>
      <c r="I186" t="s">
        <v>503</v>
      </c>
      <c r="J186" t="s">
        <v>4347</v>
      </c>
    </row>
    <row r="187" spans="1:10">
      <c r="A187" t="s">
        <v>4380</v>
      </c>
      <c r="B187" t="s">
        <v>60</v>
      </c>
      <c r="C187">
        <v>1</v>
      </c>
      <c r="E187">
        <v>43786.623</v>
      </c>
      <c r="G187">
        <v>1.7999999999999999E-2</v>
      </c>
      <c r="H187">
        <v>0.17</v>
      </c>
      <c r="I187" t="s">
        <v>503</v>
      </c>
      <c r="J187" t="s">
        <v>4347</v>
      </c>
    </row>
    <row r="188" spans="1:10">
      <c r="A188" t="s">
        <v>4380</v>
      </c>
      <c r="B188" t="s">
        <v>60</v>
      </c>
      <c r="C188">
        <v>2</v>
      </c>
      <c r="E188">
        <v>44503.737000000001</v>
      </c>
      <c r="G188">
        <v>0.02</v>
      </c>
      <c r="H188">
        <v>1.014</v>
      </c>
      <c r="I188" t="s">
        <v>503</v>
      </c>
      <c r="J188" t="s">
        <v>4347</v>
      </c>
    </row>
    <row r="189" spans="1:10">
      <c r="A189" t="s">
        <v>4380</v>
      </c>
      <c r="B189" t="s">
        <v>60</v>
      </c>
      <c r="C189">
        <v>3</v>
      </c>
      <c r="E189">
        <v>45112.262999999999</v>
      </c>
      <c r="G189">
        <v>1.2E-2</v>
      </c>
      <c r="I189" t="s">
        <v>503</v>
      </c>
      <c r="J189" t="s">
        <v>4347</v>
      </c>
    </row>
    <row r="190" spans="1:10">
      <c r="A190" t="s">
        <v>4380</v>
      </c>
      <c r="B190" t="s">
        <v>60</v>
      </c>
      <c r="C190">
        <v>4</v>
      </c>
      <c r="E190">
        <v>46289.705999999998</v>
      </c>
      <c r="G190">
        <v>1.2999999999999999E-2</v>
      </c>
      <c r="H190">
        <v>1.2689999999999999</v>
      </c>
      <c r="I190" t="s">
        <v>503</v>
      </c>
      <c r="J190" t="s">
        <v>4347</v>
      </c>
    </row>
    <row r="191" spans="1:10">
      <c r="A191" t="s">
        <v>4380</v>
      </c>
      <c r="B191" t="s">
        <v>60</v>
      </c>
      <c r="C191">
        <v>5</v>
      </c>
      <c r="E191">
        <v>47366.898999999998</v>
      </c>
      <c r="G191">
        <v>1.7000000000000001E-2</v>
      </c>
      <c r="H191">
        <v>1.31</v>
      </c>
      <c r="I191" t="s">
        <v>503</v>
      </c>
      <c r="J191" t="s">
        <v>4347</v>
      </c>
    </row>
    <row r="192" spans="1:10">
      <c r="A192" t="s">
        <v>4382</v>
      </c>
      <c r="B192" t="s">
        <v>113</v>
      </c>
      <c r="C192">
        <v>4</v>
      </c>
      <c r="E192">
        <v>43794.646999999997</v>
      </c>
      <c r="G192">
        <v>1.4E-2</v>
      </c>
      <c r="H192">
        <v>1.038</v>
      </c>
      <c r="I192" t="s">
        <v>503</v>
      </c>
      <c r="J192" t="s">
        <v>4347</v>
      </c>
    </row>
    <row r="193" spans="1:10">
      <c r="B193" t="s">
        <v>4391</v>
      </c>
      <c r="C193">
        <v>1</v>
      </c>
      <c r="E193">
        <v>43844.652999999998</v>
      </c>
      <c r="G193">
        <v>1.2E-2</v>
      </c>
      <c r="H193">
        <v>1.363</v>
      </c>
      <c r="I193" t="s">
        <v>503</v>
      </c>
      <c r="J193" t="s">
        <v>4347</v>
      </c>
    </row>
    <row r="194" spans="1:10">
      <c r="A194" t="s">
        <v>4382</v>
      </c>
      <c r="B194" t="s">
        <v>960</v>
      </c>
      <c r="C194">
        <v>3</v>
      </c>
      <c r="E194">
        <v>44049.269</v>
      </c>
      <c r="G194">
        <v>1.6E-2</v>
      </c>
      <c r="H194" t="s">
        <v>4392</v>
      </c>
      <c r="I194" t="s">
        <v>503</v>
      </c>
      <c r="J194" t="s">
        <v>4347</v>
      </c>
    </row>
    <row r="195" spans="1:10">
      <c r="B195" t="s">
        <v>4393</v>
      </c>
      <c r="C195">
        <v>1</v>
      </c>
      <c r="E195">
        <v>44257.616999999998</v>
      </c>
      <c r="G195">
        <v>1.2E-2</v>
      </c>
      <c r="H195" t="s">
        <v>4394</v>
      </c>
      <c r="I195" t="s">
        <v>503</v>
      </c>
      <c r="J195" t="s">
        <v>4347</v>
      </c>
    </row>
    <row r="196" spans="1:10">
      <c r="A196" t="s">
        <v>4395</v>
      </c>
      <c r="B196" t="s">
        <v>4396</v>
      </c>
      <c r="C196">
        <v>0</v>
      </c>
      <c r="E196">
        <v>44940.012999999999</v>
      </c>
      <c r="F196" t="s">
        <v>34</v>
      </c>
      <c r="G196">
        <v>3.5000000000000003E-2</v>
      </c>
      <c r="I196" t="s">
        <v>503</v>
      </c>
      <c r="J196" t="s">
        <v>4347</v>
      </c>
    </row>
    <row r="197" spans="1:10">
      <c r="A197" t="s">
        <v>4395</v>
      </c>
      <c r="B197" t="s">
        <v>4396</v>
      </c>
      <c r="C197">
        <v>1</v>
      </c>
      <c r="E197">
        <v>45270.150999999998</v>
      </c>
      <c r="G197">
        <v>1.0999999999999999E-2</v>
      </c>
      <c r="H197">
        <v>1.3759999999999999</v>
      </c>
      <c r="I197" t="s">
        <v>503</v>
      </c>
      <c r="J197" t="s">
        <v>4347</v>
      </c>
    </row>
    <row r="198" spans="1:10">
      <c r="A198" t="s">
        <v>4395</v>
      </c>
      <c r="B198" t="s">
        <v>4396</v>
      </c>
      <c r="C198">
        <v>2</v>
      </c>
      <c r="E198">
        <v>45728.639999999999</v>
      </c>
      <c r="G198">
        <v>1.0999999999999999E-2</v>
      </c>
      <c r="I198" t="s">
        <v>503</v>
      </c>
      <c r="J198" t="s">
        <v>4347</v>
      </c>
    </row>
    <row r="199" spans="1:10">
      <c r="A199" t="s">
        <v>4397</v>
      </c>
      <c r="B199" t="s">
        <v>4398</v>
      </c>
      <c r="C199">
        <v>3</v>
      </c>
      <c r="E199">
        <v>45083.32</v>
      </c>
      <c r="G199">
        <v>8.0000000000000002E-3</v>
      </c>
      <c r="I199" t="s">
        <v>503</v>
      </c>
      <c r="J199" t="s">
        <v>4347</v>
      </c>
    </row>
    <row r="200" spans="1:10">
      <c r="B200" t="s">
        <v>4399</v>
      </c>
      <c r="C200">
        <v>2</v>
      </c>
      <c r="E200">
        <v>45138.894</v>
      </c>
      <c r="G200">
        <v>1.4999999999999999E-2</v>
      </c>
      <c r="I200" t="s">
        <v>503</v>
      </c>
      <c r="J200" t="s">
        <v>4347</v>
      </c>
    </row>
    <row r="201" spans="1:10">
      <c r="A201" t="s">
        <v>4400</v>
      </c>
      <c r="B201" t="s">
        <v>4401</v>
      </c>
      <c r="C201">
        <v>2</v>
      </c>
      <c r="E201">
        <v>45254.947</v>
      </c>
      <c r="G201">
        <v>1.0999999999999999E-2</v>
      </c>
      <c r="H201" t="s">
        <v>4402</v>
      </c>
      <c r="I201" t="s">
        <v>503</v>
      </c>
      <c r="J201" t="s">
        <v>4347</v>
      </c>
    </row>
    <row r="202" spans="1:10">
      <c r="A202" t="s">
        <v>4400</v>
      </c>
      <c r="B202" t="s">
        <v>4401</v>
      </c>
      <c r="C202">
        <v>3</v>
      </c>
      <c r="E202">
        <v>45364.86</v>
      </c>
      <c r="G202">
        <v>1.0999999999999999E-2</v>
      </c>
      <c r="I202" t="s">
        <v>503</v>
      </c>
      <c r="J202" t="s">
        <v>4347</v>
      </c>
    </row>
    <row r="203" spans="1:10">
      <c r="A203" t="s">
        <v>4400</v>
      </c>
      <c r="B203" t="s">
        <v>4401</v>
      </c>
      <c r="C203">
        <v>1</v>
      </c>
      <c r="E203">
        <v>46100.815000000002</v>
      </c>
      <c r="G203">
        <v>1.6E-2</v>
      </c>
      <c r="H203">
        <v>2.117</v>
      </c>
      <c r="I203" t="s">
        <v>503</v>
      </c>
      <c r="J203" t="s">
        <v>4347</v>
      </c>
    </row>
    <row r="204" spans="1:10">
      <c r="A204" t="s">
        <v>4376</v>
      </c>
      <c r="B204" t="s">
        <v>86</v>
      </c>
      <c r="C204">
        <v>4</v>
      </c>
      <c r="E204">
        <v>45387.56</v>
      </c>
      <c r="G204">
        <v>1.6E-2</v>
      </c>
      <c r="H204" t="s">
        <v>4403</v>
      </c>
      <c r="I204" t="s">
        <v>503</v>
      </c>
      <c r="J204" t="s">
        <v>4347</v>
      </c>
    </row>
    <row r="205" spans="1:10">
      <c r="A205" t="s">
        <v>4376</v>
      </c>
      <c r="B205" t="s">
        <v>86</v>
      </c>
      <c r="C205">
        <v>2</v>
      </c>
      <c r="E205">
        <v>45666.180999999997</v>
      </c>
      <c r="G205">
        <v>1.4999999999999999E-2</v>
      </c>
      <c r="I205" t="s">
        <v>503</v>
      </c>
      <c r="J205" t="s">
        <v>4347</v>
      </c>
    </row>
    <row r="206" spans="1:10">
      <c r="A206" t="s">
        <v>4376</v>
      </c>
      <c r="B206" t="s">
        <v>86</v>
      </c>
      <c r="C206">
        <v>3</v>
      </c>
      <c r="E206">
        <v>45994.631000000001</v>
      </c>
      <c r="G206">
        <v>1.0999999999999999E-2</v>
      </c>
      <c r="H206" t="s">
        <v>4404</v>
      </c>
      <c r="I206" t="s">
        <v>503</v>
      </c>
      <c r="J206" t="s">
        <v>4347</v>
      </c>
    </row>
    <row r="207" spans="1:10">
      <c r="A207" t="s">
        <v>4405</v>
      </c>
      <c r="B207" t="s">
        <v>511</v>
      </c>
      <c r="C207">
        <v>5</v>
      </c>
      <c r="E207">
        <v>45448.118999999999</v>
      </c>
      <c r="G207">
        <v>1.2999999999999999E-2</v>
      </c>
      <c r="H207">
        <v>1.19</v>
      </c>
      <c r="I207" t="s">
        <v>503</v>
      </c>
      <c r="J207" t="s">
        <v>4352</v>
      </c>
    </row>
    <row r="208" spans="1:10">
      <c r="B208" t="s">
        <v>4406</v>
      </c>
      <c r="C208">
        <v>3</v>
      </c>
      <c r="E208">
        <v>45455.163999999997</v>
      </c>
      <c r="G208">
        <v>1.4999999999999999E-2</v>
      </c>
      <c r="I208" t="s">
        <v>503</v>
      </c>
      <c r="J208" t="s">
        <v>4347</v>
      </c>
    </row>
    <row r="209" spans="1:10">
      <c r="A209" t="s">
        <v>4400</v>
      </c>
      <c r="B209" t="s">
        <v>4407</v>
      </c>
      <c r="C209">
        <v>1</v>
      </c>
      <c r="E209">
        <v>45474.644999999997</v>
      </c>
      <c r="G209">
        <v>1.0999999999999999E-2</v>
      </c>
      <c r="H209">
        <v>1.42</v>
      </c>
      <c r="I209" t="s">
        <v>503</v>
      </c>
      <c r="J209" t="s">
        <v>4347</v>
      </c>
    </row>
    <row r="210" spans="1:10">
      <c r="A210" t="s">
        <v>4400</v>
      </c>
      <c r="B210" t="s">
        <v>4407</v>
      </c>
      <c r="C210">
        <v>2</v>
      </c>
      <c r="E210">
        <v>46437.767</v>
      </c>
      <c r="G210">
        <v>8.9999999999999993E-3</v>
      </c>
      <c r="I210" t="s">
        <v>503</v>
      </c>
      <c r="J210" t="s">
        <v>4347</v>
      </c>
    </row>
    <row r="211" spans="1:10">
      <c r="B211" t="s">
        <v>4408</v>
      </c>
      <c r="C211">
        <v>3</v>
      </c>
      <c r="E211">
        <v>45522.368999999999</v>
      </c>
      <c r="G211">
        <v>0.02</v>
      </c>
      <c r="I211" t="s">
        <v>503</v>
      </c>
      <c r="J211" t="s">
        <v>4347</v>
      </c>
    </row>
    <row r="212" spans="1:10">
      <c r="A212" t="s">
        <v>4380</v>
      </c>
      <c r="B212" t="s">
        <v>61</v>
      </c>
      <c r="C212">
        <v>0</v>
      </c>
      <c r="E212">
        <v>45533.42</v>
      </c>
      <c r="G212">
        <v>0.06</v>
      </c>
      <c r="I212" t="s">
        <v>503</v>
      </c>
      <c r="J212" t="s">
        <v>4347</v>
      </c>
    </row>
    <row r="213" spans="1:10">
      <c r="A213" t="s">
        <v>4380</v>
      </c>
      <c r="B213" t="s">
        <v>61</v>
      </c>
      <c r="C213">
        <v>1</v>
      </c>
      <c r="E213">
        <v>45799.531000000003</v>
      </c>
      <c r="G213">
        <v>2.1000000000000001E-2</v>
      </c>
      <c r="H213">
        <v>1.4259999999999999</v>
      </c>
      <c r="I213" t="s">
        <v>503</v>
      </c>
      <c r="J213" t="s">
        <v>4347</v>
      </c>
    </row>
    <row r="214" spans="1:10">
      <c r="A214" t="s">
        <v>4380</v>
      </c>
      <c r="B214" t="s">
        <v>61</v>
      </c>
      <c r="C214">
        <v>2</v>
      </c>
      <c r="E214">
        <v>46170.175999999999</v>
      </c>
      <c r="G214">
        <v>2.9000000000000001E-2</v>
      </c>
      <c r="I214" t="s">
        <v>503</v>
      </c>
      <c r="J214" t="s">
        <v>4347</v>
      </c>
    </row>
    <row r="215" spans="1:10">
      <c r="A215" t="s">
        <v>4380</v>
      </c>
      <c r="B215" t="s">
        <v>61</v>
      </c>
      <c r="C215">
        <v>3</v>
      </c>
      <c r="E215">
        <v>47070.716</v>
      </c>
      <c r="G215">
        <v>0.02</v>
      </c>
      <c r="I215" t="s">
        <v>503</v>
      </c>
      <c r="J215" t="s">
        <v>4347</v>
      </c>
    </row>
    <row r="216" spans="1:10">
      <c r="A216" t="s">
        <v>4380</v>
      </c>
      <c r="B216" t="s">
        <v>61</v>
      </c>
      <c r="C216">
        <v>4</v>
      </c>
      <c r="E216">
        <v>48047.92</v>
      </c>
      <c r="G216">
        <v>1.6E-2</v>
      </c>
      <c r="I216" t="s">
        <v>503</v>
      </c>
      <c r="J216" t="s">
        <v>4347</v>
      </c>
    </row>
    <row r="217" spans="1:10">
      <c r="A217" t="s">
        <v>4397</v>
      </c>
      <c r="B217" t="s">
        <v>935</v>
      </c>
      <c r="C217">
        <v>3</v>
      </c>
      <c r="E217">
        <v>45649.372000000003</v>
      </c>
      <c r="G217">
        <v>8.9999999999999993E-3</v>
      </c>
      <c r="H217">
        <v>1.1779999999999999</v>
      </c>
      <c r="I217" t="s">
        <v>503</v>
      </c>
      <c r="J217" t="s">
        <v>4347</v>
      </c>
    </row>
    <row r="218" spans="1:10">
      <c r="A218" t="s">
        <v>4397</v>
      </c>
      <c r="B218" t="s">
        <v>935</v>
      </c>
      <c r="C218">
        <v>2</v>
      </c>
      <c r="E218">
        <v>46056.211000000003</v>
      </c>
      <c r="G218">
        <v>1.2E-2</v>
      </c>
      <c r="H218">
        <v>0.69599999999999995</v>
      </c>
      <c r="I218" t="s">
        <v>503</v>
      </c>
      <c r="J218" t="s">
        <v>4347</v>
      </c>
    </row>
    <row r="219" spans="1:10">
      <c r="A219" t="s">
        <v>4397</v>
      </c>
      <c r="B219" t="s">
        <v>935</v>
      </c>
      <c r="C219">
        <v>4</v>
      </c>
      <c r="E219">
        <v>46282.396999999997</v>
      </c>
      <c r="G219">
        <v>8.0000000000000002E-3</v>
      </c>
      <c r="H219">
        <v>1.2350000000000001</v>
      </c>
      <c r="I219" t="s">
        <v>503</v>
      </c>
      <c r="J219" t="s">
        <v>4347</v>
      </c>
    </row>
    <row r="220" spans="1:10">
      <c r="B220" t="s">
        <v>4409</v>
      </c>
      <c r="C220">
        <v>2</v>
      </c>
      <c r="E220">
        <v>45848.406999999999</v>
      </c>
      <c r="G220">
        <v>1.6E-2</v>
      </c>
      <c r="I220" t="s">
        <v>503</v>
      </c>
      <c r="J220" t="s">
        <v>4347</v>
      </c>
    </row>
    <row r="221" spans="1:10">
      <c r="B221">
        <v>4618</v>
      </c>
      <c r="C221">
        <v>3</v>
      </c>
      <c r="E221">
        <v>46181.432999999997</v>
      </c>
      <c r="G221">
        <v>1.4999999999999999E-2</v>
      </c>
      <c r="I221" t="s">
        <v>503</v>
      </c>
      <c r="J221" t="s">
        <v>4347</v>
      </c>
    </row>
    <row r="222" spans="1:10">
      <c r="A222" t="s">
        <v>4372</v>
      </c>
      <c r="B222" t="s">
        <v>4410</v>
      </c>
      <c r="C222">
        <v>2</v>
      </c>
      <c r="E222">
        <v>46183.11</v>
      </c>
      <c r="G222">
        <v>8.0000000000000002E-3</v>
      </c>
      <c r="H222">
        <v>0.94199999999999995</v>
      </c>
      <c r="I222" t="s">
        <v>503</v>
      </c>
      <c r="J222" t="s">
        <v>4347</v>
      </c>
    </row>
    <row r="223" spans="1:10">
      <c r="B223" t="s">
        <v>4411</v>
      </c>
      <c r="C223">
        <v>3</v>
      </c>
      <c r="E223">
        <v>46218.213000000003</v>
      </c>
      <c r="G223">
        <v>0.02</v>
      </c>
      <c r="I223" t="s">
        <v>503</v>
      </c>
      <c r="J223" t="s">
        <v>4347</v>
      </c>
    </row>
    <row r="224" spans="1:10">
      <c r="B224">
        <v>4625</v>
      </c>
      <c r="C224">
        <v>0</v>
      </c>
      <c r="E224">
        <v>46248.315999999999</v>
      </c>
      <c r="G224">
        <v>1.4999999999999999E-2</v>
      </c>
      <c r="I224" t="s">
        <v>503</v>
      </c>
      <c r="J224" t="s">
        <v>4352</v>
      </c>
    </row>
    <row r="225" spans="1:10">
      <c r="A225" t="s">
        <v>4412</v>
      </c>
      <c r="B225" t="s">
        <v>965</v>
      </c>
      <c r="C225">
        <v>3</v>
      </c>
      <c r="E225">
        <v>46280.324999999997</v>
      </c>
      <c r="G225">
        <v>8.9999999999999993E-3</v>
      </c>
      <c r="I225" t="s">
        <v>503</v>
      </c>
      <c r="J225" t="s">
        <v>4347</v>
      </c>
    </row>
    <row r="226" spans="1:10">
      <c r="A226" t="s">
        <v>4412</v>
      </c>
      <c r="B226" t="s">
        <v>965</v>
      </c>
      <c r="C226">
        <v>4</v>
      </c>
      <c r="E226">
        <v>46678.167000000001</v>
      </c>
      <c r="G226">
        <v>1.4E-2</v>
      </c>
      <c r="I226" t="s">
        <v>503</v>
      </c>
      <c r="J226" t="s">
        <v>4347</v>
      </c>
    </row>
    <row r="227" spans="1:10">
      <c r="A227" t="s">
        <v>4412</v>
      </c>
      <c r="B227" t="s">
        <v>965</v>
      </c>
      <c r="C227">
        <v>2</v>
      </c>
      <c r="E227">
        <v>46961.989000000001</v>
      </c>
      <c r="G227">
        <v>8.9999999999999993E-3</v>
      </c>
      <c r="I227" t="s">
        <v>503</v>
      </c>
      <c r="J227" t="s">
        <v>4347</v>
      </c>
    </row>
    <row r="228" spans="1:10">
      <c r="B228" t="s">
        <v>4413</v>
      </c>
      <c r="C228">
        <v>1</v>
      </c>
      <c r="E228">
        <v>46460.747000000003</v>
      </c>
      <c r="G228">
        <v>1.6E-2</v>
      </c>
      <c r="I228" t="s">
        <v>503</v>
      </c>
      <c r="J228" t="s">
        <v>4347</v>
      </c>
    </row>
    <row r="229" spans="1:10">
      <c r="A229" t="s">
        <v>4414</v>
      </c>
      <c r="B229" t="s">
        <v>272</v>
      </c>
      <c r="C229">
        <v>6</v>
      </c>
      <c r="E229">
        <v>46487.71</v>
      </c>
      <c r="G229">
        <v>0.03</v>
      </c>
      <c r="I229" t="s">
        <v>503</v>
      </c>
      <c r="J229" t="s">
        <v>4352</v>
      </c>
    </row>
    <row r="230" spans="1:10">
      <c r="A230" t="s">
        <v>4380</v>
      </c>
      <c r="B230" t="s">
        <v>97</v>
      </c>
      <c r="C230">
        <v>3</v>
      </c>
      <c r="E230">
        <v>46775.978000000003</v>
      </c>
      <c r="G230">
        <v>2.4E-2</v>
      </c>
      <c r="I230" t="s">
        <v>503</v>
      </c>
      <c r="J230" t="s">
        <v>4347</v>
      </c>
    </row>
    <row r="231" spans="1:10">
      <c r="A231" t="s">
        <v>4380</v>
      </c>
      <c r="B231" t="s">
        <v>97</v>
      </c>
      <c r="C231">
        <v>4</v>
      </c>
      <c r="E231">
        <v>48236.2</v>
      </c>
      <c r="G231">
        <v>1.6E-2</v>
      </c>
      <c r="I231" t="s">
        <v>503</v>
      </c>
      <c r="J231" t="s">
        <v>4347</v>
      </c>
    </row>
    <row r="232" spans="1:10">
      <c r="A232" t="s">
        <v>4380</v>
      </c>
      <c r="B232" t="s">
        <v>97</v>
      </c>
      <c r="C232">
        <v>5</v>
      </c>
      <c r="E232">
        <v>49389.483</v>
      </c>
      <c r="G232">
        <v>1.7000000000000001E-2</v>
      </c>
      <c r="I232" t="s">
        <v>503</v>
      </c>
      <c r="J232" t="s">
        <v>4347</v>
      </c>
    </row>
    <row r="233" spans="1:10">
      <c r="A233" t="s">
        <v>4389</v>
      </c>
      <c r="B233" t="s">
        <v>4415</v>
      </c>
      <c r="C233">
        <v>1</v>
      </c>
      <c r="E233">
        <v>46782.803</v>
      </c>
      <c r="G233">
        <v>1.4E-2</v>
      </c>
      <c r="I233" t="s">
        <v>503</v>
      </c>
      <c r="J233" t="s">
        <v>4347</v>
      </c>
    </row>
    <row r="234" spans="1:10">
      <c r="A234" t="s">
        <v>4395</v>
      </c>
      <c r="B234" t="s">
        <v>4416</v>
      </c>
      <c r="C234">
        <v>2</v>
      </c>
      <c r="E234">
        <v>46860.760999999999</v>
      </c>
      <c r="G234">
        <v>1.2999999999999999E-2</v>
      </c>
      <c r="I234" t="s">
        <v>503</v>
      </c>
      <c r="J234" t="s">
        <v>4347</v>
      </c>
    </row>
    <row r="235" spans="1:10">
      <c r="A235" t="s">
        <v>4395</v>
      </c>
      <c r="B235" t="s">
        <v>4416</v>
      </c>
      <c r="C235">
        <v>1</v>
      </c>
      <c r="E235">
        <v>46937.955000000002</v>
      </c>
      <c r="G235">
        <v>1.2999999999999999E-2</v>
      </c>
      <c r="H235" t="s">
        <v>4417</v>
      </c>
      <c r="I235" t="s">
        <v>503</v>
      </c>
      <c r="J235" t="s">
        <v>4347</v>
      </c>
    </row>
    <row r="236" spans="1:10">
      <c r="A236" t="s">
        <v>4395</v>
      </c>
      <c r="B236" t="s">
        <v>4416</v>
      </c>
      <c r="C236">
        <v>3</v>
      </c>
      <c r="E236">
        <v>47938.463000000003</v>
      </c>
      <c r="G236">
        <v>8.9999999999999993E-3</v>
      </c>
      <c r="H236" t="s">
        <v>4418</v>
      </c>
      <c r="I236" t="s">
        <v>503</v>
      </c>
      <c r="J236" t="s">
        <v>4347</v>
      </c>
    </row>
    <row r="237" spans="1:10">
      <c r="A237" t="s">
        <v>4412</v>
      </c>
      <c r="B237" t="s">
        <v>4419</v>
      </c>
      <c r="C237">
        <v>3</v>
      </c>
      <c r="E237">
        <v>46966.631999999998</v>
      </c>
      <c r="G237">
        <v>8.9999999999999993E-3</v>
      </c>
      <c r="I237" t="s">
        <v>503</v>
      </c>
      <c r="J237" t="s">
        <v>4347</v>
      </c>
    </row>
    <row r="238" spans="1:10">
      <c r="B238" t="s">
        <v>4420</v>
      </c>
      <c r="C238">
        <v>2</v>
      </c>
      <c r="E238">
        <v>46981.209000000003</v>
      </c>
      <c r="G238">
        <v>2.5999999999999999E-2</v>
      </c>
      <c r="I238" t="s">
        <v>503</v>
      </c>
      <c r="J238" t="s">
        <v>4347</v>
      </c>
    </row>
    <row r="239" spans="1:10">
      <c r="A239" t="s">
        <v>4421</v>
      </c>
      <c r="B239" t="s">
        <v>43</v>
      </c>
      <c r="C239">
        <v>4</v>
      </c>
      <c r="E239">
        <v>46992.423000000003</v>
      </c>
      <c r="G239">
        <v>8.0000000000000002E-3</v>
      </c>
      <c r="I239" t="s">
        <v>503</v>
      </c>
      <c r="J239" t="s">
        <v>4347</v>
      </c>
    </row>
    <row r="240" spans="1:10">
      <c r="A240" t="s">
        <v>4421</v>
      </c>
      <c r="B240" t="s">
        <v>43</v>
      </c>
      <c r="C240">
        <v>3</v>
      </c>
      <c r="E240">
        <v>47345.946000000004</v>
      </c>
      <c r="G240">
        <v>8.9999999999999993E-3</v>
      </c>
      <c r="I240" t="s">
        <v>503</v>
      </c>
      <c r="J240" t="s">
        <v>4347</v>
      </c>
    </row>
    <row r="241" spans="1:10">
      <c r="A241" t="s">
        <v>4421</v>
      </c>
      <c r="B241" t="s">
        <v>43</v>
      </c>
      <c r="C241">
        <v>5</v>
      </c>
      <c r="E241">
        <v>47768.678999999996</v>
      </c>
      <c r="G241">
        <v>1.4E-2</v>
      </c>
      <c r="H241">
        <v>1.1419999999999999</v>
      </c>
      <c r="I241" t="s">
        <v>503</v>
      </c>
      <c r="J241" t="s">
        <v>4347</v>
      </c>
    </row>
    <row r="242" spans="1:10">
      <c r="B242" t="s">
        <v>4422</v>
      </c>
      <c r="C242">
        <v>1</v>
      </c>
      <c r="E242">
        <v>47092.023999999998</v>
      </c>
      <c r="G242">
        <v>1.6E-2</v>
      </c>
      <c r="I242" t="s">
        <v>503</v>
      </c>
      <c r="J242" t="s">
        <v>4347</v>
      </c>
    </row>
    <row r="243" spans="1:10">
      <c r="A243" t="s">
        <v>4423</v>
      </c>
      <c r="B243" t="s">
        <v>4424</v>
      </c>
      <c r="C243">
        <v>3</v>
      </c>
      <c r="E243">
        <v>47112.404999999999</v>
      </c>
      <c r="G243">
        <v>1.2E-2</v>
      </c>
      <c r="H243">
        <v>1.478</v>
      </c>
      <c r="I243" t="s">
        <v>503</v>
      </c>
      <c r="J243" t="s">
        <v>4347</v>
      </c>
    </row>
    <row r="244" spans="1:10">
      <c r="A244" t="s">
        <v>4423</v>
      </c>
      <c r="B244" t="s">
        <v>4424</v>
      </c>
      <c r="C244">
        <v>2</v>
      </c>
      <c r="E244">
        <v>47305.023999999998</v>
      </c>
      <c r="G244">
        <v>7.0000000000000001E-3</v>
      </c>
      <c r="I244" t="s">
        <v>503</v>
      </c>
      <c r="J244" t="s">
        <v>4347</v>
      </c>
    </row>
    <row r="245" spans="1:10">
      <c r="A245" t="s">
        <v>4423</v>
      </c>
      <c r="B245" t="s">
        <v>4424</v>
      </c>
      <c r="C245">
        <v>1</v>
      </c>
      <c r="E245">
        <v>47874.451000000001</v>
      </c>
      <c r="G245">
        <v>1.0999999999999999E-2</v>
      </c>
      <c r="I245" t="s">
        <v>503</v>
      </c>
      <c r="J245" t="s">
        <v>4347</v>
      </c>
    </row>
    <row r="246" spans="1:10">
      <c r="A246" t="s">
        <v>4425</v>
      </c>
      <c r="B246" t="s">
        <v>4426</v>
      </c>
      <c r="C246">
        <v>1</v>
      </c>
      <c r="E246">
        <v>47309.326999999997</v>
      </c>
      <c r="G246">
        <v>1.0999999999999999E-2</v>
      </c>
      <c r="H246">
        <v>1.5289999999999999</v>
      </c>
      <c r="I246" t="s">
        <v>503</v>
      </c>
      <c r="J246" t="s">
        <v>4347</v>
      </c>
    </row>
    <row r="247" spans="1:10">
      <c r="A247" t="s">
        <v>4425</v>
      </c>
      <c r="B247" t="s">
        <v>4426</v>
      </c>
      <c r="C247">
        <v>0</v>
      </c>
      <c r="E247">
        <v>47751.233</v>
      </c>
      <c r="G247">
        <v>1.4E-2</v>
      </c>
      <c r="I247" t="s">
        <v>503</v>
      </c>
      <c r="J247" t="s">
        <v>4347</v>
      </c>
    </row>
    <row r="248" spans="1:10">
      <c r="A248" t="s">
        <v>4425</v>
      </c>
      <c r="B248" t="s">
        <v>4426</v>
      </c>
      <c r="C248">
        <v>2</v>
      </c>
      <c r="E248">
        <v>47867.67</v>
      </c>
      <c r="G248">
        <v>2.3E-2</v>
      </c>
      <c r="I248" t="s">
        <v>503</v>
      </c>
      <c r="J248" t="s">
        <v>4347</v>
      </c>
    </row>
    <row r="249" spans="1:10">
      <c r="B249" t="s">
        <v>4427</v>
      </c>
      <c r="C249">
        <v>2</v>
      </c>
      <c r="E249">
        <v>47345.139000000003</v>
      </c>
      <c r="G249">
        <v>1.7999999999999999E-2</v>
      </c>
      <c r="I249" t="s">
        <v>503</v>
      </c>
      <c r="J249" t="s">
        <v>4347</v>
      </c>
    </row>
    <row r="250" spans="1:10">
      <c r="B250" t="s">
        <v>4428</v>
      </c>
      <c r="C250">
        <v>3</v>
      </c>
      <c r="E250">
        <v>47590.144</v>
      </c>
      <c r="G250">
        <v>1.9E-2</v>
      </c>
      <c r="H250">
        <v>1.3460000000000001</v>
      </c>
      <c r="I250" t="s">
        <v>503</v>
      </c>
      <c r="J250" t="s">
        <v>4347</v>
      </c>
    </row>
    <row r="251" spans="1:10">
      <c r="A251" t="s">
        <v>4421</v>
      </c>
      <c r="B251" t="s">
        <v>38</v>
      </c>
      <c r="C251">
        <v>4</v>
      </c>
      <c r="E251">
        <v>47606.258000000002</v>
      </c>
      <c r="G251">
        <v>8.9999999999999993E-3</v>
      </c>
      <c r="H251" t="s">
        <v>4429</v>
      </c>
      <c r="I251" t="s">
        <v>503</v>
      </c>
      <c r="J251" t="s">
        <v>4347</v>
      </c>
    </row>
    <row r="252" spans="1:10">
      <c r="B252" t="s">
        <v>4430</v>
      </c>
      <c r="C252">
        <v>1</v>
      </c>
      <c r="E252">
        <v>47640.273000000001</v>
      </c>
      <c r="G252">
        <v>1.7000000000000001E-2</v>
      </c>
      <c r="I252" t="s">
        <v>503</v>
      </c>
      <c r="J252" t="s">
        <v>4347</v>
      </c>
    </row>
    <row r="253" spans="1:10">
      <c r="A253" t="s">
        <v>4423</v>
      </c>
      <c r="B253" t="s">
        <v>4431</v>
      </c>
      <c r="C253">
        <v>2</v>
      </c>
      <c r="E253">
        <v>47702.436000000002</v>
      </c>
      <c r="G253">
        <v>1.4999999999999999E-2</v>
      </c>
      <c r="I253" t="s">
        <v>503</v>
      </c>
      <c r="J253" t="s">
        <v>4347</v>
      </c>
    </row>
    <row r="254" spans="1:10">
      <c r="A254" t="s">
        <v>4385</v>
      </c>
      <c r="B254" t="s">
        <v>68</v>
      </c>
      <c r="C254">
        <v>1</v>
      </c>
      <c r="E254">
        <v>47876.635999999999</v>
      </c>
      <c r="G254">
        <v>1.6E-2</v>
      </c>
      <c r="I254" t="s">
        <v>503</v>
      </c>
      <c r="J254" t="s">
        <v>4347</v>
      </c>
    </row>
    <row r="255" spans="1:10">
      <c r="A255" t="s">
        <v>4385</v>
      </c>
      <c r="B255" t="s">
        <v>68</v>
      </c>
      <c r="C255">
        <v>3</v>
      </c>
      <c r="E255">
        <v>48647.540999999997</v>
      </c>
      <c r="G255">
        <v>2.3E-2</v>
      </c>
      <c r="I255" t="s">
        <v>503</v>
      </c>
      <c r="J255" t="s">
        <v>4347</v>
      </c>
    </row>
    <row r="256" spans="1:10">
      <c r="A256" t="s">
        <v>4385</v>
      </c>
      <c r="B256" t="s">
        <v>68</v>
      </c>
      <c r="C256">
        <v>2</v>
      </c>
      <c r="E256">
        <v>48952.008000000002</v>
      </c>
      <c r="G256">
        <v>1.4E-2</v>
      </c>
      <c r="I256" t="s">
        <v>503</v>
      </c>
      <c r="J256" t="s">
        <v>4347</v>
      </c>
    </row>
    <row r="257" spans="1:10">
      <c r="B257" t="s">
        <v>4432</v>
      </c>
      <c r="C257">
        <v>3</v>
      </c>
      <c r="E257">
        <v>47884.745999999999</v>
      </c>
      <c r="G257">
        <v>1.6E-2</v>
      </c>
      <c r="I257" t="s">
        <v>503</v>
      </c>
      <c r="J257" t="s">
        <v>4347</v>
      </c>
    </row>
    <row r="258" spans="1:10">
      <c r="A258" t="s">
        <v>4433</v>
      </c>
      <c r="B258" t="s">
        <v>4434</v>
      </c>
      <c r="C258">
        <v>3</v>
      </c>
      <c r="E258">
        <v>47896.923999999999</v>
      </c>
      <c r="G258">
        <v>1.0999999999999999E-2</v>
      </c>
      <c r="I258" t="s">
        <v>503</v>
      </c>
      <c r="J258" t="s">
        <v>4347</v>
      </c>
    </row>
    <row r="259" spans="1:10">
      <c r="A259" t="s">
        <v>4433</v>
      </c>
      <c r="B259" t="s">
        <v>4434</v>
      </c>
      <c r="C259">
        <v>2</v>
      </c>
      <c r="E259">
        <v>47955.205999999998</v>
      </c>
      <c r="G259">
        <v>8.9999999999999993E-3</v>
      </c>
      <c r="I259" t="s">
        <v>503</v>
      </c>
      <c r="J259" t="s">
        <v>4347</v>
      </c>
    </row>
    <row r="260" spans="1:10">
      <c r="A260" t="s">
        <v>4433</v>
      </c>
      <c r="B260" t="s">
        <v>4434</v>
      </c>
      <c r="C260">
        <v>1</v>
      </c>
      <c r="E260">
        <v>48309.906000000003</v>
      </c>
      <c r="G260">
        <v>1.7000000000000001E-2</v>
      </c>
      <c r="I260" t="s">
        <v>503</v>
      </c>
      <c r="J260" t="s">
        <v>4347</v>
      </c>
    </row>
    <row r="261" spans="1:10">
      <c r="A261" t="s">
        <v>4382</v>
      </c>
      <c r="B261" t="s">
        <v>189</v>
      </c>
      <c r="C261">
        <v>3</v>
      </c>
      <c r="E261">
        <v>47931.883999999998</v>
      </c>
      <c r="G261">
        <v>6.0000000000000001E-3</v>
      </c>
      <c r="H261">
        <v>0.82799999999999996</v>
      </c>
      <c r="I261" t="s">
        <v>503</v>
      </c>
      <c r="J261" t="s">
        <v>4347</v>
      </c>
    </row>
    <row r="262" spans="1:10">
      <c r="B262" t="s">
        <v>4435</v>
      </c>
      <c r="C262">
        <v>2</v>
      </c>
      <c r="E262">
        <v>47937.928</v>
      </c>
      <c r="G262">
        <v>2.8000000000000001E-2</v>
      </c>
      <c r="I262" t="s">
        <v>503</v>
      </c>
      <c r="J262" t="s">
        <v>4347</v>
      </c>
    </row>
    <row r="263" spans="1:10">
      <c r="A263" t="s">
        <v>4378</v>
      </c>
      <c r="B263" t="s">
        <v>36</v>
      </c>
      <c r="C263">
        <v>4</v>
      </c>
      <c r="E263">
        <v>48022.23</v>
      </c>
      <c r="G263">
        <v>8.9999999999999993E-3</v>
      </c>
      <c r="I263" t="s">
        <v>503</v>
      </c>
      <c r="J263" t="s">
        <v>4347</v>
      </c>
    </row>
    <row r="264" spans="1:10">
      <c r="A264" t="s">
        <v>4378</v>
      </c>
      <c r="B264" t="s">
        <v>36</v>
      </c>
      <c r="C264">
        <v>5</v>
      </c>
      <c r="E264">
        <v>49180.692000000003</v>
      </c>
      <c r="G264">
        <v>1.0999999999999999E-2</v>
      </c>
      <c r="I264" t="s">
        <v>503</v>
      </c>
      <c r="J264" t="s">
        <v>4347</v>
      </c>
    </row>
    <row r="265" spans="1:10">
      <c r="A265" t="s">
        <v>4378</v>
      </c>
      <c r="B265" t="s">
        <v>36</v>
      </c>
      <c r="C265">
        <v>6</v>
      </c>
      <c r="E265">
        <v>50888.786999999997</v>
      </c>
      <c r="F265" t="s">
        <v>34</v>
      </c>
      <c r="G265">
        <v>2.1999999999999999E-2</v>
      </c>
      <c r="I265" t="s">
        <v>503</v>
      </c>
      <c r="J265" t="s">
        <v>4347</v>
      </c>
    </row>
    <row r="266" spans="1:10">
      <c r="A266" t="s">
        <v>4436</v>
      </c>
      <c r="B266" t="s">
        <v>4437</v>
      </c>
      <c r="C266">
        <v>3</v>
      </c>
      <c r="E266">
        <v>48049.468000000001</v>
      </c>
      <c r="G266">
        <v>0.01</v>
      </c>
      <c r="I266" t="s">
        <v>503</v>
      </c>
      <c r="J266" t="s">
        <v>4347</v>
      </c>
    </row>
    <row r="267" spans="1:10">
      <c r="B267" t="s">
        <v>4438</v>
      </c>
      <c r="C267">
        <v>3</v>
      </c>
      <c r="E267">
        <v>48081.51</v>
      </c>
      <c r="G267">
        <v>1.2E-2</v>
      </c>
      <c r="I267" t="s">
        <v>503</v>
      </c>
      <c r="J267" t="s">
        <v>4347</v>
      </c>
    </row>
    <row r="268" spans="1:10">
      <c r="A268" t="s">
        <v>4425</v>
      </c>
      <c r="B268" t="s">
        <v>4439</v>
      </c>
      <c r="C268">
        <v>1</v>
      </c>
      <c r="E268">
        <v>48129.625999999997</v>
      </c>
      <c r="G268">
        <v>1.2999999999999999E-2</v>
      </c>
      <c r="I268" t="s">
        <v>503</v>
      </c>
      <c r="J268" t="s">
        <v>4347</v>
      </c>
    </row>
    <row r="269" spans="1:10">
      <c r="B269">
        <v>4818</v>
      </c>
      <c r="C269">
        <v>2</v>
      </c>
      <c r="E269">
        <v>48179.148000000001</v>
      </c>
      <c r="G269">
        <v>0.01</v>
      </c>
      <c r="I269" t="s">
        <v>503</v>
      </c>
      <c r="J269" t="s">
        <v>4347</v>
      </c>
    </row>
    <row r="270" spans="1:10">
      <c r="A270" t="s">
        <v>4378</v>
      </c>
      <c r="B270" t="s">
        <v>4440</v>
      </c>
      <c r="C270">
        <v>4</v>
      </c>
      <c r="E270">
        <v>48220.762000000002</v>
      </c>
      <c r="G270">
        <v>0.01</v>
      </c>
      <c r="I270" t="s">
        <v>503</v>
      </c>
      <c r="J270" t="s">
        <v>4347</v>
      </c>
    </row>
    <row r="271" spans="1:10">
      <c r="A271" t="s">
        <v>4378</v>
      </c>
      <c r="B271" t="s">
        <v>4440</v>
      </c>
      <c r="C271">
        <v>3</v>
      </c>
      <c r="E271">
        <v>48869.483</v>
      </c>
      <c r="G271">
        <v>8.0000000000000002E-3</v>
      </c>
      <c r="I271" t="s">
        <v>503</v>
      </c>
      <c r="J271" t="s">
        <v>4347</v>
      </c>
    </row>
    <row r="272" spans="1:10">
      <c r="A272" t="s">
        <v>4378</v>
      </c>
      <c r="B272" t="s">
        <v>4440</v>
      </c>
      <c r="C272">
        <v>2</v>
      </c>
      <c r="E272">
        <v>48991.455000000002</v>
      </c>
      <c r="G272">
        <v>8.0000000000000002E-3</v>
      </c>
      <c r="I272" t="s">
        <v>503</v>
      </c>
      <c r="J272" t="s">
        <v>4347</v>
      </c>
    </row>
    <row r="273" spans="1:10">
      <c r="A273" t="s">
        <v>4385</v>
      </c>
      <c r="B273" t="s">
        <v>102</v>
      </c>
      <c r="C273">
        <v>1</v>
      </c>
      <c r="E273">
        <v>48259.188999999998</v>
      </c>
      <c r="G273">
        <v>1.9E-2</v>
      </c>
      <c r="I273" t="s">
        <v>503</v>
      </c>
      <c r="J273" t="s">
        <v>4347</v>
      </c>
    </row>
    <row r="274" spans="1:10">
      <c r="A274" t="s">
        <v>4385</v>
      </c>
      <c r="B274" t="s">
        <v>102</v>
      </c>
      <c r="C274">
        <v>0</v>
      </c>
      <c r="E274">
        <v>48985.406999999999</v>
      </c>
      <c r="G274">
        <v>2.1999999999999999E-2</v>
      </c>
      <c r="I274" t="s">
        <v>503</v>
      </c>
      <c r="J274" t="s">
        <v>4347</v>
      </c>
    </row>
    <row r="275" spans="1:10">
      <c r="A275" t="s">
        <v>4385</v>
      </c>
      <c r="B275" t="s">
        <v>102</v>
      </c>
      <c r="C275">
        <v>2</v>
      </c>
      <c r="E275">
        <v>50364.656000000003</v>
      </c>
      <c r="G275">
        <v>2.1000000000000001E-2</v>
      </c>
      <c r="I275" t="s">
        <v>503</v>
      </c>
      <c r="J275" t="s">
        <v>4347</v>
      </c>
    </row>
    <row r="276" spans="1:10">
      <c r="A276" t="s">
        <v>4385</v>
      </c>
      <c r="B276" t="s">
        <v>102</v>
      </c>
      <c r="C276">
        <v>3</v>
      </c>
      <c r="E276">
        <v>50857.946000000004</v>
      </c>
      <c r="G276">
        <v>2.1999999999999999E-2</v>
      </c>
      <c r="I276" t="s">
        <v>503</v>
      </c>
      <c r="J276" t="s">
        <v>4347</v>
      </c>
    </row>
    <row r="277" spans="1:10">
      <c r="A277" t="s">
        <v>4385</v>
      </c>
      <c r="B277" t="s">
        <v>102</v>
      </c>
      <c r="C277">
        <v>4</v>
      </c>
      <c r="E277">
        <v>51968.618000000002</v>
      </c>
      <c r="G277">
        <v>1.9E-2</v>
      </c>
      <c r="I277" t="s">
        <v>503</v>
      </c>
      <c r="J277" t="s">
        <v>4347</v>
      </c>
    </row>
    <row r="278" spans="1:10">
      <c r="B278">
        <v>4832</v>
      </c>
      <c r="C278">
        <v>3</v>
      </c>
      <c r="E278">
        <v>48319.152999999998</v>
      </c>
      <c r="G278">
        <v>8.0000000000000002E-3</v>
      </c>
      <c r="I278" t="s">
        <v>503</v>
      </c>
      <c r="J278" t="s">
        <v>4347</v>
      </c>
    </row>
    <row r="279" spans="1:10">
      <c r="A279" t="s">
        <v>4378</v>
      </c>
      <c r="B279" t="s">
        <v>1747</v>
      </c>
      <c r="C279">
        <v>4</v>
      </c>
      <c r="E279">
        <v>48356.953999999998</v>
      </c>
      <c r="G279">
        <v>1.2E-2</v>
      </c>
      <c r="I279" t="s">
        <v>503</v>
      </c>
      <c r="J279" t="s">
        <v>4347</v>
      </c>
    </row>
    <row r="280" spans="1:10">
      <c r="A280" t="s">
        <v>4378</v>
      </c>
      <c r="B280" t="s">
        <v>1747</v>
      </c>
      <c r="C280">
        <v>3</v>
      </c>
      <c r="E280">
        <v>48599.010999999999</v>
      </c>
      <c r="G280">
        <v>1.2999999999999999E-2</v>
      </c>
      <c r="H280" t="s">
        <v>4441</v>
      </c>
      <c r="I280" t="s">
        <v>503</v>
      </c>
      <c r="J280" t="s">
        <v>4347</v>
      </c>
    </row>
    <row r="281" spans="1:10">
      <c r="A281" t="s">
        <v>4378</v>
      </c>
      <c r="B281" t="s">
        <v>1747</v>
      </c>
      <c r="C281">
        <v>5</v>
      </c>
      <c r="E281">
        <v>49540.684999999998</v>
      </c>
      <c r="G281">
        <v>8.9999999999999993E-3</v>
      </c>
      <c r="I281" t="s">
        <v>503</v>
      </c>
      <c r="J281" t="s">
        <v>4347</v>
      </c>
    </row>
    <row r="282" spans="1:10">
      <c r="A282" t="s">
        <v>4433</v>
      </c>
      <c r="B282" t="s">
        <v>4442</v>
      </c>
      <c r="C282">
        <v>2</v>
      </c>
      <c r="E282">
        <v>48407.264999999999</v>
      </c>
      <c r="G282">
        <v>8.0000000000000002E-3</v>
      </c>
      <c r="I282" t="s">
        <v>503</v>
      </c>
      <c r="J282" t="s">
        <v>4347</v>
      </c>
    </row>
    <row r="283" spans="1:10">
      <c r="A283" t="s">
        <v>4436</v>
      </c>
      <c r="B283" t="s">
        <v>4443</v>
      </c>
      <c r="C283">
        <v>2</v>
      </c>
      <c r="E283">
        <v>48459.099000000002</v>
      </c>
      <c r="G283">
        <v>1.4E-2</v>
      </c>
      <c r="I283" t="s">
        <v>503</v>
      </c>
      <c r="J283" t="s">
        <v>4347</v>
      </c>
    </row>
    <row r="284" spans="1:10">
      <c r="A284" t="s">
        <v>4436</v>
      </c>
      <c r="B284" t="s">
        <v>4443</v>
      </c>
      <c r="C284">
        <v>3</v>
      </c>
      <c r="E284">
        <v>48746.542000000001</v>
      </c>
      <c r="G284">
        <v>1.4E-2</v>
      </c>
      <c r="I284" t="s">
        <v>503</v>
      </c>
      <c r="J284" t="s">
        <v>4347</v>
      </c>
    </row>
    <row r="285" spans="1:10">
      <c r="A285" t="s">
        <v>4436</v>
      </c>
      <c r="B285" t="s">
        <v>4443</v>
      </c>
      <c r="C285">
        <v>4</v>
      </c>
      <c r="E285">
        <v>49005.415999999997</v>
      </c>
      <c r="G285">
        <v>1.2E-2</v>
      </c>
      <c r="I285" t="s">
        <v>503</v>
      </c>
      <c r="J285" t="s">
        <v>4347</v>
      </c>
    </row>
    <row r="286" spans="1:10">
      <c r="B286">
        <v>4855</v>
      </c>
      <c r="C286">
        <v>2</v>
      </c>
      <c r="E286">
        <v>48552.385000000002</v>
      </c>
      <c r="G286">
        <v>1.4E-2</v>
      </c>
      <c r="I286" t="s">
        <v>503</v>
      </c>
      <c r="J286" t="s">
        <v>4347</v>
      </c>
    </row>
    <row r="287" spans="1:10">
      <c r="B287">
        <v>4859</v>
      </c>
      <c r="C287">
        <v>2</v>
      </c>
      <c r="E287">
        <v>48594.849000000002</v>
      </c>
      <c r="G287">
        <v>0.01</v>
      </c>
      <c r="I287" t="s">
        <v>503</v>
      </c>
      <c r="J287" t="s">
        <v>4347</v>
      </c>
    </row>
    <row r="288" spans="1:10">
      <c r="A288" t="s">
        <v>4378</v>
      </c>
      <c r="B288" t="s">
        <v>4444</v>
      </c>
      <c r="C288">
        <v>2</v>
      </c>
      <c r="E288">
        <v>48708.483</v>
      </c>
      <c r="G288">
        <v>0.01</v>
      </c>
      <c r="H288">
        <v>1.857</v>
      </c>
      <c r="I288" t="s">
        <v>503</v>
      </c>
      <c r="J288" t="s">
        <v>4347</v>
      </c>
    </row>
    <row r="289" spans="1:10">
      <c r="A289" t="s">
        <v>4378</v>
      </c>
      <c r="B289" t="s">
        <v>4445</v>
      </c>
      <c r="C289">
        <v>3</v>
      </c>
      <c r="E289">
        <v>48809.786999999997</v>
      </c>
      <c r="G289">
        <v>0.01</v>
      </c>
      <c r="I289" t="s">
        <v>503</v>
      </c>
      <c r="J289" t="s">
        <v>4347</v>
      </c>
    </row>
    <row r="290" spans="1:10">
      <c r="A290" t="s">
        <v>4378</v>
      </c>
      <c r="B290" t="s">
        <v>4445</v>
      </c>
      <c r="C290">
        <v>2</v>
      </c>
      <c r="E290">
        <v>48906.451999999997</v>
      </c>
      <c r="G290">
        <v>1.4E-2</v>
      </c>
      <c r="I290" t="s">
        <v>503</v>
      </c>
      <c r="J290" t="s">
        <v>4347</v>
      </c>
    </row>
    <row r="291" spans="1:10">
      <c r="A291" t="s">
        <v>4378</v>
      </c>
      <c r="B291" t="s">
        <v>4445</v>
      </c>
      <c r="C291">
        <v>1</v>
      </c>
      <c r="E291">
        <v>48982.190999999999</v>
      </c>
      <c r="G291">
        <v>1.4E-2</v>
      </c>
      <c r="I291" t="s">
        <v>503</v>
      </c>
      <c r="J291" t="s">
        <v>4347</v>
      </c>
    </row>
    <row r="292" spans="1:10">
      <c r="A292" t="s">
        <v>4378</v>
      </c>
      <c r="B292" t="s">
        <v>4446</v>
      </c>
      <c r="C292">
        <v>5</v>
      </c>
      <c r="E292">
        <v>49178.281999999999</v>
      </c>
      <c r="F292" t="s">
        <v>34</v>
      </c>
      <c r="G292">
        <v>3.4000000000000002E-2</v>
      </c>
      <c r="I292" t="s">
        <v>503</v>
      </c>
      <c r="J292" t="s">
        <v>4347</v>
      </c>
    </row>
    <row r="293" spans="1:10">
      <c r="A293" t="s">
        <v>4380</v>
      </c>
      <c r="B293" t="s">
        <v>140</v>
      </c>
      <c r="C293">
        <v>1</v>
      </c>
      <c r="E293">
        <v>49204.118999999999</v>
      </c>
      <c r="G293">
        <v>2.1999999999999999E-2</v>
      </c>
      <c r="I293" t="s">
        <v>503</v>
      </c>
      <c r="J293" t="s">
        <v>4347</v>
      </c>
    </row>
    <row r="294" spans="1:10">
      <c r="A294" t="s">
        <v>4380</v>
      </c>
      <c r="B294" t="s">
        <v>140</v>
      </c>
      <c r="C294">
        <v>2</v>
      </c>
      <c r="E294">
        <v>50879.37</v>
      </c>
      <c r="F294" t="s">
        <v>34</v>
      </c>
      <c r="G294">
        <v>0.03</v>
      </c>
      <c r="I294" t="s">
        <v>503</v>
      </c>
      <c r="J294" t="s">
        <v>4347</v>
      </c>
    </row>
    <row r="295" spans="1:10">
      <c r="A295" t="s">
        <v>4380</v>
      </c>
      <c r="B295" t="s">
        <v>140</v>
      </c>
      <c r="C295">
        <v>3</v>
      </c>
      <c r="E295">
        <v>51739.31</v>
      </c>
      <c r="F295" t="s">
        <v>34</v>
      </c>
      <c r="G295">
        <v>0.04</v>
      </c>
      <c r="I295" t="s">
        <v>503</v>
      </c>
      <c r="J295" t="s">
        <v>4347</v>
      </c>
    </row>
    <row r="296" spans="1:10">
      <c r="A296" t="s">
        <v>4382</v>
      </c>
      <c r="B296" t="s">
        <v>95</v>
      </c>
      <c r="C296">
        <v>4</v>
      </c>
      <c r="E296">
        <v>49268.29</v>
      </c>
      <c r="G296">
        <v>1.4999999999999999E-2</v>
      </c>
      <c r="I296" t="s">
        <v>503</v>
      </c>
      <c r="J296" t="s">
        <v>4347</v>
      </c>
    </row>
    <row r="297" spans="1:10">
      <c r="A297" t="s">
        <v>4382</v>
      </c>
      <c r="B297" t="s">
        <v>95</v>
      </c>
      <c r="C297">
        <v>6</v>
      </c>
      <c r="E297">
        <v>51641.887999999999</v>
      </c>
      <c r="G297">
        <v>2.5999999999999999E-2</v>
      </c>
      <c r="H297" t="s">
        <v>4447</v>
      </c>
      <c r="I297" t="s">
        <v>503</v>
      </c>
      <c r="J297" t="s">
        <v>4347</v>
      </c>
    </row>
    <row r="298" spans="1:10">
      <c r="B298">
        <v>4935</v>
      </c>
      <c r="C298">
        <v>3</v>
      </c>
      <c r="E298">
        <v>49347.343000000001</v>
      </c>
      <c r="G298">
        <v>0.01</v>
      </c>
      <c r="H298">
        <v>1.304</v>
      </c>
      <c r="I298" t="s">
        <v>503</v>
      </c>
      <c r="J298" t="s">
        <v>4347</v>
      </c>
    </row>
    <row r="299" spans="1:10">
      <c r="B299">
        <v>4938</v>
      </c>
      <c r="C299" t="s">
        <v>4448</v>
      </c>
      <c r="E299">
        <v>49377.892</v>
      </c>
      <c r="G299">
        <v>1.7999999999999999E-2</v>
      </c>
      <c r="I299" t="s">
        <v>503</v>
      </c>
      <c r="J299" t="s">
        <v>4352</v>
      </c>
    </row>
    <row r="300" spans="1:10">
      <c r="B300">
        <v>4940</v>
      </c>
      <c r="C300">
        <v>2</v>
      </c>
      <c r="E300">
        <v>49404.000999999997</v>
      </c>
      <c r="G300">
        <v>1.2999999999999999E-2</v>
      </c>
      <c r="I300" t="s">
        <v>503</v>
      </c>
      <c r="J300" t="s">
        <v>4347</v>
      </c>
    </row>
    <row r="301" spans="1:10">
      <c r="B301">
        <v>4944</v>
      </c>
      <c r="C301">
        <v>2</v>
      </c>
      <c r="E301">
        <v>49438.824999999997</v>
      </c>
      <c r="G301">
        <v>2.1000000000000001E-2</v>
      </c>
      <c r="I301" t="s">
        <v>503</v>
      </c>
      <c r="J301" t="s">
        <v>4347</v>
      </c>
    </row>
    <row r="302" spans="1:10">
      <c r="B302">
        <v>4945</v>
      </c>
      <c r="C302">
        <v>1</v>
      </c>
      <c r="E302">
        <v>49446.868999999999</v>
      </c>
      <c r="G302">
        <v>2.1000000000000001E-2</v>
      </c>
      <c r="I302" t="s">
        <v>503</v>
      </c>
      <c r="J302" t="s">
        <v>4347</v>
      </c>
    </row>
    <row r="303" spans="1:10">
      <c r="B303">
        <v>4962</v>
      </c>
      <c r="C303">
        <v>4</v>
      </c>
      <c r="E303">
        <v>49623.476999999999</v>
      </c>
      <c r="G303">
        <v>8.9999999999999993E-3</v>
      </c>
      <c r="I303" t="s">
        <v>503</v>
      </c>
      <c r="J303" t="s">
        <v>4347</v>
      </c>
    </row>
    <row r="304" spans="1:10">
      <c r="B304">
        <v>4966</v>
      </c>
      <c r="C304">
        <v>3</v>
      </c>
      <c r="E304">
        <v>49660.578999999998</v>
      </c>
      <c r="G304">
        <v>8.0000000000000002E-3</v>
      </c>
      <c r="I304" t="s">
        <v>503</v>
      </c>
      <c r="J304" t="s">
        <v>4347</v>
      </c>
    </row>
    <row r="305" spans="1:10">
      <c r="B305">
        <v>4979</v>
      </c>
      <c r="C305">
        <v>3</v>
      </c>
      <c r="E305">
        <v>49791.881999999998</v>
      </c>
      <c r="G305">
        <v>0.01</v>
      </c>
      <c r="I305" t="s">
        <v>503</v>
      </c>
      <c r="J305" t="s">
        <v>4347</v>
      </c>
    </row>
    <row r="306" spans="1:10">
      <c r="B306" t="s">
        <v>4449</v>
      </c>
      <c r="C306">
        <v>4</v>
      </c>
      <c r="E306">
        <v>49946.478999999999</v>
      </c>
      <c r="G306">
        <v>1.6E-2</v>
      </c>
      <c r="I306" t="s">
        <v>503</v>
      </c>
      <c r="J306" t="s">
        <v>4352</v>
      </c>
    </row>
    <row r="307" spans="1:10">
      <c r="B307">
        <v>5000</v>
      </c>
      <c r="C307">
        <v>3</v>
      </c>
      <c r="E307">
        <v>49999.148000000001</v>
      </c>
      <c r="G307">
        <v>1.2E-2</v>
      </c>
      <c r="H307">
        <v>1.3979999999999999</v>
      </c>
      <c r="I307" t="s">
        <v>503</v>
      </c>
      <c r="J307" t="s">
        <v>4347</v>
      </c>
    </row>
    <row r="308" spans="1:10">
      <c r="A308" t="s">
        <v>4380</v>
      </c>
      <c r="B308" t="s">
        <v>917</v>
      </c>
      <c r="C308">
        <v>2</v>
      </c>
      <c r="E308">
        <v>50084.584999999999</v>
      </c>
      <c r="G308">
        <v>1.6E-2</v>
      </c>
      <c r="I308" t="s">
        <v>503</v>
      </c>
      <c r="J308" t="s">
        <v>4347</v>
      </c>
    </row>
    <row r="309" spans="1:10">
      <c r="A309" t="s">
        <v>4380</v>
      </c>
      <c r="B309" t="s">
        <v>917</v>
      </c>
      <c r="C309">
        <v>3</v>
      </c>
      <c r="E309">
        <v>50354.571000000004</v>
      </c>
      <c r="G309">
        <v>1.4999999999999999E-2</v>
      </c>
      <c r="I309" t="s">
        <v>503</v>
      </c>
      <c r="J309" t="s">
        <v>4347</v>
      </c>
    </row>
    <row r="310" spans="1:10">
      <c r="A310" t="s">
        <v>4380</v>
      </c>
      <c r="B310" t="s">
        <v>917</v>
      </c>
      <c r="C310">
        <v>4</v>
      </c>
      <c r="E310">
        <v>52581.286999999997</v>
      </c>
      <c r="G310">
        <v>1.6E-2</v>
      </c>
      <c r="I310" t="s">
        <v>503</v>
      </c>
      <c r="J310" t="s">
        <v>4347</v>
      </c>
    </row>
    <row r="311" spans="1:10">
      <c r="B311">
        <v>5019</v>
      </c>
      <c r="C311">
        <v>2</v>
      </c>
      <c r="E311">
        <v>50193.266000000003</v>
      </c>
      <c r="G311">
        <v>1.0999999999999999E-2</v>
      </c>
      <c r="I311" t="s">
        <v>503</v>
      </c>
      <c r="J311" t="s">
        <v>4347</v>
      </c>
    </row>
    <row r="312" spans="1:10">
      <c r="B312">
        <v>5028</v>
      </c>
      <c r="C312">
        <v>5</v>
      </c>
      <c r="E312">
        <v>50279.571000000004</v>
      </c>
      <c r="G312">
        <v>1.2E-2</v>
      </c>
      <c r="I312" t="s">
        <v>503</v>
      </c>
      <c r="J312" t="s">
        <v>4347</v>
      </c>
    </row>
    <row r="313" spans="1:10">
      <c r="B313">
        <v>5039</v>
      </c>
      <c r="C313">
        <v>4</v>
      </c>
      <c r="E313">
        <v>50393.233999999997</v>
      </c>
      <c r="G313">
        <v>1.2999999999999999E-2</v>
      </c>
      <c r="I313" t="s">
        <v>503</v>
      </c>
      <c r="J313" t="s">
        <v>4347</v>
      </c>
    </row>
    <row r="314" spans="1:10">
      <c r="B314" t="s">
        <v>4450</v>
      </c>
      <c r="C314">
        <v>3</v>
      </c>
      <c r="E314">
        <v>50583.627999999997</v>
      </c>
      <c r="G314">
        <v>2.8000000000000001E-2</v>
      </c>
      <c r="I314" t="s">
        <v>503</v>
      </c>
      <c r="J314" t="s">
        <v>4347</v>
      </c>
    </row>
    <row r="315" spans="1:10">
      <c r="A315" t="s">
        <v>4378</v>
      </c>
      <c r="B315" t="s">
        <v>4451</v>
      </c>
      <c r="C315">
        <v>3</v>
      </c>
      <c r="E315">
        <v>50680.44</v>
      </c>
      <c r="G315">
        <v>2.3E-2</v>
      </c>
      <c r="H315" t="s">
        <v>4452</v>
      </c>
      <c r="I315" t="s">
        <v>503</v>
      </c>
      <c r="J315" t="s">
        <v>4347</v>
      </c>
    </row>
    <row r="316" spans="1:10">
      <c r="B316">
        <v>5083</v>
      </c>
      <c r="C316">
        <v>1</v>
      </c>
      <c r="E316">
        <v>50828.595999999998</v>
      </c>
      <c r="G316">
        <v>2.3E-2</v>
      </c>
      <c r="I316" t="s">
        <v>503</v>
      </c>
      <c r="J316" t="s">
        <v>4347</v>
      </c>
    </row>
    <row r="317" spans="1:10">
      <c r="B317">
        <v>5089</v>
      </c>
      <c r="C317">
        <v>2</v>
      </c>
      <c r="E317">
        <v>50891.396999999997</v>
      </c>
      <c r="G317">
        <v>2.4E-2</v>
      </c>
      <c r="I317" t="s">
        <v>503</v>
      </c>
      <c r="J317" t="s">
        <v>4347</v>
      </c>
    </row>
    <row r="318" spans="1:10">
      <c r="B318">
        <v>5109</v>
      </c>
      <c r="C318">
        <v>1</v>
      </c>
      <c r="E318">
        <v>51091.243000000002</v>
      </c>
      <c r="G318">
        <v>2.1999999999999999E-2</v>
      </c>
      <c r="I318" t="s">
        <v>503</v>
      </c>
      <c r="J318" t="s">
        <v>4347</v>
      </c>
    </row>
    <row r="319" spans="1:10">
      <c r="A319" t="s">
        <v>4378</v>
      </c>
      <c r="B319" t="s">
        <v>269</v>
      </c>
      <c r="C319">
        <v>4</v>
      </c>
      <c r="E319">
        <v>51201.49</v>
      </c>
      <c r="G319">
        <v>1.0999999999999999E-2</v>
      </c>
      <c r="I319" t="s">
        <v>503</v>
      </c>
      <c r="J319" t="s">
        <v>4347</v>
      </c>
    </row>
    <row r="320" spans="1:10">
      <c r="A320" t="s">
        <v>4378</v>
      </c>
      <c r="B320" t="s">
        <v>346</v>
      </c>
      <c r="C320">
        <v>4</v>
      </c>
      <c r="E320">
        <v>51390.77</v>
      </c>
      <c r="G320">
        <v>1.4E-2</v>
      </c>
      <c r="I320" t="s">
        <v>503</v>
      </c>
      <c r="J320" t="s">
        <v>4347</v>
      </c>
    </row>
    <row r="321" spans="1:10">
      <c r="B321">
        <v>5140</v>
      </c>
      <c r="C321">
        <v>3</v>
      </c>
      <c r="E321">
        <v>51395.745999999999</v>
      </c>
      <c r="G321">
        <v>0.01</v>
      </c>
      <c r="I321" t="s">
        <v>503</v>
      </c>
      <c r="J321" t="s">
        <v>4347</v>
      </c>
    </row>
    <row r="322" spans="1:10">
      <c r="B322">
        <v>5141</v>
      </c>
      <c r="C322">
        <v>5</v>
      </c>
      <c r="E322">
        <v>51408.695</v>
      </c>
      <c r="G322">
        <v>8.9999999999999993E-3</v>
      </c>
      <c r="I322" t="s">
        <v>503</v>
      </c>
      <c r="J322" t="s">
        <v>4347</v>
      </c>
    </row>
    <row r="323" spans="1:10">
      <c r="B323">
        <v>5151</v>
      </c>
      <c r="C323">
        <v>2</v>
      </c>
      <c r="E323">
        <v>51508.398999999998</v>
      </c>
      <c r="G323">
        <v>1.7999999999999999E-2</v>
      </c>
      <c r="I323" t="s">
        <v>503</v>
      </c>
      <c r="J323" t="s">
        <v>4347</v>
      </c>
    </row>
    <row r="324" spans="1:10">
      <c r="B324">
        <v>5156</v>
      </c>
      <c r="C324">
        <v>3</v>
      </c>
      <c r="E324">
        <v>51556.239000000001</v>
      </c>
      <c r="G324">
        <v>2.1999999999999999E-2</v>
      </c>
      <c r="I324" t="s">
        <v>503</v>
      </c>
      <c r="J324" t="s">
        <v>4347</v>
      </c>
    </row>
    <row r="325" spans="1:10">
      <c r="B325">
        <v>5164</v>
      </c>
      <c r="C325">
        <v>4</v>
      </c>
      <c r="E325">
        <v>51640.353999999999</v>
      </c>
      <c r="G325">
        <v>1.2E-2</v>
      </c>
      <c r="I325" t="s">
        <v>503</v>
      </c>
      <c r="J325" t="s">
        <v>4347</v>
      </c>
    </row>
    <row r="326" spans="1:10">
      <c r="B326">
        <v>5177</v>
      </c>
      <c r="C326">
        <v>2</v>
      </c>
      <c r="E326">
        <v>51771.597999999998</v>
      </c>
      <c r="G326">
        <v>2.1000000000000001E-2</v>
      </c>
      <c r="I326" t="s">
        <v>503</v>
      </c>
      <c r="J326" t="s">
        <v>4347</v>
      </c>
    </row>
    <row r="327" spans="1:10">
      <c r="B327">
        <v>5178</v>
      </c>
      <c r="C327">
        <v>2</v>
      </c>
      <c r="E327">
        <v>51782.936999999998</v>
      </c>
      <c r="G327">
        <v>2.4E-2</v>
      </c>
      <c r="I327" t="s">
        <v>503</v>
      </c>
      <c r="J327" t="s">
        <v>4347</v>
      </c>
    </row>
    <row r="328" spans="1:10">
      <c r="B328">
        <v>5185</v>
      </c>
      <c r="C328">
        <v>3</v>
      </c>
      <c r="E328">
        <v>51847.447</v>
      </c>
      <c r="G328">
        <v>1.7999999999999999E-2</v>
      </c>
      <c r="I328" t="s">
        <v>503</v>
      </c>
      <c r="J328" t="s">
        <v>4347</v>
      </c>
    </row>
    <row r="329" spans="1:10">
      <c r="B329">
        <v>5193</v>
      </c>
      <c r="C329">
        <v>5</v>
      </c>
      <c r="E329">
        <v>51929.97</v>
      </c>
      <c r="G329">
        <v>1.9E-2</v>
      </c>
      <c r="I329" t="s">
        <v>503</v>
      </c>
      <c r="J329" t="s">
        <v>4347</v>
      </c>
    </row>
    <row r="330" spans="1:10">
      <c r="B330" t="s">
        <v>4453</v>
      </c>
      <c r="C330">
        <v>4</v>
      </c>
      <c r="E330">
        <v>53063.851000000002</v>
      </c>
      <c r="G330">
        <v>2.5999999999999999E-2</v>
      </c>
      <c r="I330" t="s">
        <v>503</v>
      </c>
      <c r="J330" t="s">
        <v>4347</v>
      </c>
    </row>
    <row r="331" spans="1:10">
      <c r="B331" t="s">
        <v>4454</v>
      </c>
      <c r="C331">
        <v>0</v>
      </c>
      <c r="E331">
        <v>53853.608</v>
      </c>
      <c r="G331">
        <v>2.1999999999999999E-2</v>
      </c>
      <c r="I331" t="s">
        <v>503</v>
      </c>
      <c r="J331" t="s">
        <v>4347</v>
      </c>
    </row>
    <row r="332" spans="1:10">
      <c r="A332" t="s">
        <v>4455</v>
      </c>
      <c r="B332" t="s">
        <v>202</v>
      </c>
      <c r="C332" t="s">
        <v>203</v>
      </c>
      <c r="E332">
        <v>55047.9</v>
      </c>
      <c r="G332">
        <v>0.1</v>
      </c>
      <c r="I332" t="s">
        <v>503</v>
      </c>
      <c r="J332" t="s">
        <v>4456</v>
      </c>
    </row>
    <row r="333" spans="1:10">
      <c r="B333" t="s">
        <v>4457</v>
      </c>
      <c r="C333">
        <v>2</v>
      </c>
      <c r="E333">
        <v>57622.95</v>
      </c>
      <c r="G333">
        <v>3.3000000000000002E-2</v>
      </c>
      <c r="I333" t="s">
        <v>503</v>
      </c>
      <c r="J333" t="s">
        <v>4347</v>
      </c>
    </row>
    <row r="334" spans="1:10">
      <c r="B334" t="s">
        <v>4458</v>
      </c>
      <c r="C334">
        <v>2</v>
      </c>
      <c r="E334">
        <v>58115.294999999998</v>
      </c>
      <c r="G334">
        <v>2.7E-2</v>
      </c>
      <c r="I334" t="s">
        <v>503</v>
      </c>
      <c r="J334" t="s">
        <v>4347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A695-4B9F-478B-9CB6-4E3357C06E48}">
  <dimension ref="A1:I302"/>
  <sheetViews>
    <sheetView workbookViewId="0">
      <selection sqref="A1:I1048576"/>
    </sheetView>
  </sheetViews>
  <sheetFormatPr defaultRowHeight="15"/>
  <cols>
    <col min="1" max="1" width="17.7109375" bestFit="1" customWidth="1"/>
    <col min="2" max="2" width="6.7109375" bestFit="1" customWidth="1"/>
    <col min="3" max="3" width="4.855468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7109375" bestFit="1" customWidth="1"/>
    <col min="9" max="9" width="10.140625" bestFit="1" customWidth="1"/>
  </cols>
  <sheetData>
    <row r="1" spans="1:9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4459</v>
      </c>
      <c r="B2" t="s">
        <v>1034</v>
      </c>
      <c r="C2" s="2" t="s">
        <v>250</v>
      </c>
      <c r="E2">
        <v>0</v>
      </c>
      <c r="H2">
        <v>0.44700000000000001</v>
      </c>
      <c r="I2" t="s">
        <v>12</v>
      </c>
    </row>
    <row r="3" spans="1:9">
      <c r="A3" t="s">
        <v>4459</v>
      </c>
      <c r="B3" t="s">
        <v>1034</v>
      </c>
      <c r="C3" s="2" t="s">
        <v>249</v>
      </c>
      <c r="E3">
        <v>2010.1</v>
      </c>
      <c r="H3">
        <v>1.0309999999999999</v>
      </c>
    </row>
    <row r="4" spans="1:9">
      <c r="A4" t="s">
        <v>4459</v>
      </c>
      <c r="B4" t="s">
        <v>1034</v>
      </c>
      <c r="C4" s="2" t="s">
        <v>251</v>
      </c>
      <c r="E4">
        <v>3963.92</v>
      </c>
      <c r="H4">
        <v>1.218</v>
      </c>
    </row>
    <row r="5" spans="1:9">
      <c r="A5" t="s">
        <v>4459</v>
      </c>
      <c r="B5" t="s">
        <v>1034</v>
      </c>
      <c r="C5" s="2" t="s">
        <v>252</v>
      </c>
      <c r="E5">
        <v>5621.04</v>
      </c>
      <c r="H5">
        <v>1.272</v>
      </c>
    </row>
    <row r="6" spans="1:9">
      <c r="A6" t="s">
        <v>4459</v>
      </c>
      <c r="B6" t="s">
        <v>1043</v>
      </c>
      <c r="C6" s="2" t="s">
        <v>248</v>
      </c>
      <c r="E6">
        <v>6049.42</v>
      </c>
      <c r="H6">
        <v>2.4540000000000002</v>
      </c>
    </row>
    <row r="7" spans="1:9">
      <c r="A7" t="s">
        <v>4459</v>
      </c>
      <c r="B7" t="s">
        <v>1043</v>
      </c>
      <c r="C7" s="2" t="s">
        <v>250</v>
      </c>
      <c r="E7">
        <v>6068.91</v>
      </c>
      <c r="H7">
        <v>1.5269999999999999</v>
      </c>
    </row>
    <row r="8" spans="1:9">
      <c r="A8" t="s">
        <v>4459</v>
      </c>
      <c r="B8" t="s">
        <v>1043</v>
      </c>
      <c r="C8" s="2" t="s">
        <v>249</v>
      </c>
      <c r="E8">
        <v>9253.43</v>
      </c>
      <c r="H8">
        <v>1.58</v>
      </c>
    </row>
    <row r="9" spans="1:9">
      <c r="A9" t="s">
        <v>4459</v>
      </c>
      <c r="B9" t="s">
        <v>1047</v>
      </c>
      <c r="C9" s="2" t="s">
        <v>251</v>
      </c>
      <c r="E9">
        <v>9705.3799999999992</v>
      </c>
      <c r="H9">
        <v>0.91200000000000003</v>
      </c>
    </row>
    <row r="10" spans="1:9">
      <c r="A10" t="s">
        <v>4459</v>
      </c>
      <c r="B10" t="s">
        <v>1047</v>
      </c>
      <c r="C10" s="2" t="s">
        <v>252</v>
      </c>
      <c r="E10">
        <v>10690.32</v>
      </c>
      <c r="H10">
        <v>1.0629999999999999</v>
      </c>
    </row>
    <row r="11" spans="1:9">
      <c r="A11" t="s">
        <v>4460</v>
      </c>
      <c r="B11" t="s">
        <v>1040</v>
      </c>
      <c r="C11" s="2" t="s">
        <v>248</v>
      </c>
      <c r="E11">
        <v>9758.9699999999993</v>
      </c>
      <c r="H11">
        <v>3.02</v>
      </c>
    </row>
    <row r="12" spans="1:9">
      <c r="A12" t="s">
        <v>4460</v>
      </c>
      <c r="B12" t="s">
        <v>1040</v>
      </c>
      <c r="C12" s="2" t="s">
        <v>250</v>
      </c>
      <c r="E12">
        <v>9975.81</v>
      </c>
      <c r="H12">
        <v>1.542</v>
      </c>
    </row>
    <row r="13" spans="1:9">
      <c r="A13" t="s">
        <v>4460</v>
      </c>
      <c r="B13" t="s">
        <v>1040</v>
      </c>
      <c r="C13" s="2" t="s">
        <v>249</v>
      </c>
      <c r="E13">
        <v>11243.63</v>
      </c>
      <c r="H13">
        <v>1.641</v>
      </c>
    </row>
    <row r="14" spans="1:9">
      <c r="A14" t="s">
        <v>4460</v>
      </c>
      <c r="B14" t="s">
        <v>1040</v>
      </c>
      <c r="C14" s="2" t="s">
        <v>251</v>
      </c>
      <c r="E14">
        <v>12234.76</v>
      </c>
      <c r="H14">
        <v>1.5780000000000001</v>
      </c>
    </row>
    <row r="15" spans="1:9">
      <c r="A15" t="s">
        <v>4460</v>
      </c>
      <c r="B15" t="s">
        <v>1040</v>
      </c>
      <c r="C15" s="2" t="s">
        <v>252</v>
      </c>
      <c r="E15">
        <v>13351.45</v>
      </c>
      <c r="H15">
        <v>1.5329999999999999</v>
      </c>
    </row>
    <row r="16" spans="1:9">
      <c r="A16" t="s">
        <v>4459</v>
      </c>
      <c r="B16" t="s">
        <v>1050</v>
      </c>
      <c r="C16" s="2" t="s">
        <v>250</v>
      </c>
      <c r="E16">
        <v>10950.22</v>
      </c>
      <c r="H16">
        <v>1.407</v>
      </c>
    </row>
    <row r="17" spans="1:8">
      <c r="A17" t="s">
        <v>4459</v>
      </c>
      <c r="B17" t="s">
        <v>1050</v>
      </c>
      <c r="C17" s="2" t="s">
        <v>248</v>
      </c>
      <c r="E17">
        <v>11792.13</v>
      </c>
      <c r="H17">
        <v>1.1160000000000001</v>
      </c>
    </row>
    <row r="18" spans="1:8">
      <c r="A18" t="s">
        <v>4461</v>
      </c>
      <c r="B18" t="s">
        <v>1095</v>
      </c>
      <c r="C18" s="2" t="s">
        <v>249</v>
      </c>
      <c r="E18">
        <v>11796.14</v>
      </c>
      <c r="H18">
        <v>2.1339999999999999</v>
      </c>
    </row>
    <row r="19" spans="1:8">
      <c r="A19" t="s">
        <v>4459</v>
      </c>
      <c r="B19" t="s">
        <v>2542</v>
      </c>
      <c r="C19" s="2" t="s">
        <v>249</v>
      </c>
      <c r="E19">
        <v>12865.97</v>
      </c>
      <c r="H19">
        <v>1.214</v>
      </c>
    </row>
    <row r="20" spans="1:8">
      <c r="A20" t="s">
        <v>4459</v>
      </c>
      <c r="B20" t="s">
        <v>2542</v>
      </c>
      <c r="C20" s="2" t="s">
        <v>250</v>
      </c>
      <c r="E20">
        <v>15903.77</v>
      </c>
      <c r="H20">
        <v>1.1990000000000001</v>
      </c>
    </row>
    <row r="21" spans="1:8">
      <c r="B21">
        <v>148</v>
      </c>
      <c r="C21" s="2" t="s">
        <v>249</v>
      </c>
      <c r="E21">
        <v>14875.7</v>
      </c>
      <c r="F21" t="s">
        <v>34</v>
      </c>
    </row>
    <row r="22" spans="1:8">
      <c r="A22" t="s">
        <v>4459</v>
      </c>
      <c r="B22" t="s">
        <v>1064</v>
      </c>
      <c r="C22" s="2" t="s">
        <v>1702</v>
      </c>
      <c r="E22">
        <v>15114.14</v>
      </c>
      <c r="H22">
        <v>1.0209999999999999</v>
      </c>
    </row>
    <row r="23" spans="1:8">
      <c r="A23" t="s">
        <v>4459</v>
      </c>
      <c r="B23" t="s">
        <v>1064</v>
      </c>
      <c r="C23" s="2" t="s">
        <v>252</v>
      </c>
      <c r="E23">
        <v>15391.01</v>
      </c>
      <c r="H23">
        <v>1.014</v>
      </c>
    </row>
    <row r="24" spans="1:8">
      <c r="A24" t="s">
        <v>4459</v>
      </c>
      <c r="B24" t="s">
        <v>1091</v>
      </c>
      <c r="C24" s="2" t="s">
        <v>249</v>
      </c>
      <c r="E24">
        <v>17224.47</v>
      </c>
      <c r="H24">
        <v>0.88200000000000001</v>
      </c>
    </row>
    <row r="25" spans="1:8">
      <c r="A25" t="s">
        <v>4459</v>
      </c>
      <c r="B25" t="s">
        <v>1091</v>
      </c>
      <c r="C25" s="2" t="s">
        <v>251</v>
      </c>
      <c r="E25">
        <v>17383.12</v>
      </c>
      <c r="H25">
        <v>1.125</v>
      </c>
    </row>
    <row r="26" spans="1:8">
      <c r="A26" t="s">
        <v>4462</v>
      </c>
      <c r="B26" t="s">
        <v>1072</v>
      </c>
      <c r="C26" s="2" t="s">
        <v>720</v>
      </c>
    </row>
    <row r="27" spans="1:8">
      <c r="A27" t="s">
        <v>4462</v>
      </c>
      <c r="B27" t="s">
        <v>1072</v>
      </c>
      <c r="C27" s="2" t="s">
        <v>250</v>
      </c>
      <c r="E27">
        <v>17384.650000000001</v>
      </c>
    </row>
    <row r="28" spans="1:8">
      <c r="A28" t="s">
        <v>4462</v>
      </c>
      <c r="B28" t="s">
        <v>1072</v>
      </c>
      <c r="C28" s="2" t="s">
        <v>249</v>
      </c>
      <c r="E28">
        <v>19178.45</v>
      </c>
      <c r="H28">
        <v>0.85099999999999998</v>
      </c>
    </row>
    <row r="29" spans="1:8">
      <c r="A29" t="s">
        <v>4462</v>
      </c>
      <c r="B29" t="s">
        <v>1072</v>
      </c>
      <c r="C29" s="2" t="s">
        <v>251</v>
      </c>
      <c r="E29">
        <v>20560.259999999998</v>
      </c>
      <c r="H29">
        <v>1.194</v>
      </c>
    </row>
    <row r="30" spans="1:8">
      <c r="A30" t="s">
        <v>4462</v>
      </c>
      <c r="B30" t="s">
        <v>1072</v>
      </c>
      <c r="C30" s="2" t="s">
        <v>252</v>
      </c>
      <c r="E30">
        <v>22681.71</v>
      </c>
      <c r="H30">
        <v>1.2310000000000001</v>
      </c>
    </row>
    <row r="31" spans="1:8">
      <c r="A31" t="s">
        <v>4462</v>
      </c>
      <c r="B31" t="s">
        <v>1072</v>
      </c>
      <c r="C31" s="2" t="s">
        <v>1702</v>
      </c>
      <c r="E31">
        <v>25008.83</v>
      </c>
      <c r="H31">
        <v>1.302</v>
      </c>
    </row>
    <row r="32" spans="1:8">
      <c r="B32" t="s">
        <v>4463</v>
      </c>
      <c r="C32" s="2" t="s">
        <v>249</v>
      </c>
      <c r="E32">
        <v>17993.740000000002</v>
      </c>
      <c r="H32">
        <v>0.73199999999999998</v>
      </c>
    </row>
    <row r="33" spans="1:8">
      <c r="A33" t="s">
        <v>4464</v>
      </c>
      <c r="B33" t="s">
        <v>1098</v>
      </c>
      <c r="C33" s="2" t="s">
        <v>248</v>
      </c>
      <c r="E33">
        <v>18504.72</v>
      </c>
      <c r="H33">
        <v>0.17199999999999999</v>
      </c>
    </row>
    <row r="34" spans="1:8">
      <c r="A34" t="s">
        <v>4464</v>
      </c>
      <c r="B34" t="s">
        <v>1098</v>
      </c>
      <c r="C34" s="2" t="s">
        <v>250</v>
      </c>
      <c r="E34">
        <v>19657.78</v>
      </c>
      <c r="H34">
        <v>1.018</v>
      </c>
    </row>
    <row r="35" spans="1:8">
      <c r="A35" t="s">
        <v>4464</v>
      </c>
      <c r="B35" t="s">
        <v>1098</v>
      </c>
      <c r="C35" s="2" t="s">
        <v>249</v>
      </c>
      <c r="E35">
        <v>21167.61</v>
      </c>
      <c r="H35">
        <v>1.1200000000000001</v>
      </c>
    </row>
    <row r="36" spans="1:8">
      <c r="A36" t="s">
        <v>4464</v>
      </c>
      <c r="B36" t="s">
        <v>1098</v>
      </c>
      <c r="C36" s="2" t="s">
        <v>251</v>
      </c>
      <c r="E36">
        <v>23926.68</v>
      </c>
      <c r="H36">
        <v>1.3260000000000001</v>
      </c>
    </row>
    <row r="37" spans="1:8">
      <c r="A37" t="s">
        <v>4465</v>
      </c>
      <c r="B37" t="s">
        <v>2623</v>
      </c>
      <c r="C37" s="2" t="s">
        <v>248</v>
      </c>
      <c r="E37">
        <v>20340.39</v>
      </c>
      <c r="H37">
        <v>1.956</v>
      </c>
    </row>
    <row r="38" spans="1:8">
      <c r="A38" t="s">
        <v>4466</v>
      </c>
      <c r="B38" t="s">
        <v>1056</v>
      </c>
      <c r="C38" s="2" t="s">
        <v>251</v>
      </c>
      <c r="E38">
        <v>20646.54</v>
      </c>
      <c r="H38">
        <v>0.81799999999999995</v>
      </c>
    </row>
    <row r="39" spans="1:8">
      <c r="A39" t="s">
        <v>4466</v>
      </c>
      <c r="B39" t="s">
        <v>1056</v>
      </c>
      <c r="C39" s="2" t="s">
        <v>252</v>
      </c>
      <c r="E39">
        <v>21153.33</v>
      </c>
      <c r="H39">
        <v>1.089</v>
      </c>
    </row>
    <row r="40" spans="1:8">
      <c r="A40" t="s">
        <v>4466</v>
      </c>
      <c r="B40" t="s">
        <v>1056</v>
      </c>
      <c r="C40" s="2" t="s">
        <v>1702</v>
      </c>
      <c r="E40">
        <v>22428.560000000001</v>
      </c>
      <c r="H40">
        <v>1.159</v>
      </c>
    </row>
    <row r="41" spans="1:8">
      <c r="A41" t="s">
        <v>4466</v>
      </c>
      <c r="B41" t="s">
        <v>1056</v>
      </c>
      <c r="C41" s="2" t="s">
        <v>720</v>
      </c>
      <c r="E41">
        <v>23514.86</v>
      </c>
      <c r="H41">
        <v>1.2170000000000001</v>
      </c>
    </row>
    <row r="42" spans="1:8">
      <c r="A42" t="s">
        <v>4465</v>
      </c>
      <c r="B42" t="s">
        <v>1130</v>
      </c>
      <c r="C42" s="2" t="s">
        <v>250</v>
      </c>
      <c r="E42">
        <v>20772.32</v>
      </c>
      <c r="H42">
        <v>0.81200000000000006</v>
      </c>
    </row>
    <row r="43" spans="1:8">
      <c r="A43" t="s">
        <v>4465</v>
      </c>
      <c r="B43" t="s">
        <v>1130</v>
      </c>
      <c r="C43" s="2" t="s">
        <v>249</v>
      </c>
      <c r="E43">
        <v>22047.45</v>
      </c>
      <c r="H43">
        <v>1.179</v>
      </c>
    </row>
    <row r="44" spans="1:8">
      <c r="B44">
        <v>210</v>
      </c>
      <c r="C44" s="2" t="s">
        <v>249</v>
      </c>
      <c r="E44">
        <v>21091.53</v>
      </c>
    </row>
    <row r="45" spans="1:8">
      <c r="A45" t="s">
        <v>4460</v>
      </c>
      <c r="B45" t="s">
        <v>1041</v>
      </c>
      <c r="C45" s="2" t="s">
        <v>250</v>
      </c>
      <c r="E45">
        <v>21381.01</v>
      </c>
      <c r="H45">
        <v>1.02</v>
      </c>
    </row>
    <row r="46" spans="1:8">
      <c r="A46" t="s">
        <v>4460</v>
      </c>
      <c r="B46" t="s">
        <v>1041</v>
      </c>
      <c r="C46" s="2" t="s">
        <v>248</v>
      </c>
      <c r="E46">
        <v>22235.97</v>
      </c>
    </row>
    <row r="47" spans="1:8">
      <c r="A47" t="s">
        <v>4460</v>
      </c>
      <c r="B47" t="s">
        <v>1041</v>
      </c>
      <c r="C47" s="2" t="s">
        <v>249</v>
      </c>
      <c r="E47">
        <v>24546.2</v>
      </c>
      <c r="H47">
        <v>1.294</v>
      </c>
    </row>
    <row r="48" spans="1:8">
      <c r="A48" t="s">
        <v>4460</v>
      </c>
      <c r="B48" t="s">
        <v>1041</v>
      </c>
      <c r="C48" s="2" t="s">
        <v>251</v>
      </c>
      <c r="E48">
        <v>26575.02</v>
      </c>
      <c r="H48">
        <v>1.42</v>
      </c>
    </row>
    <row r="49" spans="1:8">
      <c r="A49" t="s">
        <v>4467</v>
      </c>
      <c r="B49" t="s">
        <v>1074</v>
      </c>
      <c r="C49" s="2" t="s">
        <v>249</v>
      </c>
      <c r="E49">
        <v>21622.92</v>
      </c>
      <c r="H49">
        <v>0.89400000000000002</v>
      </c>
    </row>
    <row r="50" spans="1:8">
      <c r="A50" t="s">
        <v>4467</v>
      </c>
      <c r="B50" t="s">
        <v>1074</v>
      </c>
      <c r="C50" s="2" t="s">
        <v>251</v>
      </c>
      <c r="E50">
        <v>22761.21</v>
      </c>
      <c r="H50">
        <v>1.008</v>
      </c>
    </row>
    <row r="51" spans="1:8">
      <c r="A51" t="s">
        <v>4467</v>
      </c>
      <c r="B51" t="s">
        <v>1074</v>
      </c>
      <c r="C51" s="2" t="s">
        <v>252</v>
      </c>
      <c r="E51">
        <v>23912.89</v>
      </c>
      <c r="H51">
        <v>1.1850000000000001</v>
      </c>
    </row>
    <row r="52" spans="1:8">
      <c r="A52" t="s">
        <v>4467</v>
      </c>
      <c r="B52" t="s">
        <v>1074</v>
      </c>
      <c r="C52" s="2" t="s">
        <v>1702</v>
      </c>
      <c r="E52">
        <v>26022.74</v>
      </c>
      <c r="H52">
        <v>1.26</v>
      </c>
    </row>
    <row r="53" spans="1:8">
      <c r="A53" t="s">
        <v>4462</v>
      </c>
      <c r="B53" t="s">
        <v>1124</v>
      </c>
      <c r="C53" s="2" t="s">
        <v>250</v>
      </c>
      <c r="E53">
        <v>21855.07</v>
      </c>
      <c r="H53">
        <v>0.66600000000000004</v>
      </c>
    </row>
    <row r="54" spans="1:8">
      <c r="A54" t="s">
        <v>4462</v>
      </c>
      <c r="B54" t="s">
        <v>1124</v>
      </c>
      <c r="C54" s="2" t="s">
        <v>249</v>
      </c>
      <c r="E54">
        <v>23363.09</v>
      </c>
      <c r="H54">
        <v>1.0780000000000001</v>
      </c>
    </row>
    <row r="55" spans="1:8">
      <c r="A55" t="s">
        <v>4462</v>
      </c>
      <c r="B55" t="s">
        <v>1124</v>
      </c>
      <c r="C55" s="2" t="s">
        <v>251</v>
      </c>
      <c r="E55">
        <v>24981.85</v>
      </c>
      <c r="H55">
        <v>1.2350000000000001</v>
      </c>
    </row>
    <row r="56" spans="1:8">
      <c r="A56" t="s">
        <v>4462</v>
      </c>
      <c r="B56" t="s">
        <v>1124</v>
      </c>
      <c r="C56" s="2" t="s">
        <v>252</v>
      </c>
      <c r="E56">
        <v>25926.34</v>
      </c>
      <c r="H56">
        <v>1.292</v>
      </c>
    </row>
    <row r="57" spans="1:8">
      <c r="B57" t="s">
        <v>4468</v>
      </c>
      <c r="C57" s="2" t="s">
        <v>251</v>
      </c>
      <c r="E57">
        <v>22380.53</v>
      </c>
      <c r="H57">
        <v>1.06</v>
      </c>
    </row>
    <row r="58" spans="1:8">
      <c r="B58">
        <v>224</v>
      </c>
      <c r="C58" s="2" t="s">
        <v>249</v>
      </c>
      <c r="E58">
        <v>22434.37</v>
      </c>
    </row>
    <row r="59" spans="1:8">
      <c r="B59">
        <v>228</v>
      </c>
      <c r="C59" s="2" t="s">
        <v>250</v>
      </c>
      <c r="E59">
        <v>22842.84</v>
      </c>
      <c r="H59">
        <v>0.89400000000000002</v>
      </c>
    </row>
    <row r="60" spans="1:8">
      <c r="B60">
        <v>231</v>
      </c>
      <c r="C60" s="2" t="s">
        <v>1702</v>
      </c>
      <c r="E60">
        <v>23141.4</v>
      </c>
      <c r="F60" t="s">
        <v>34</v>
      </c>
    </row>
    <row r="61" spans="1:8">
      <c r="A61" t="s">
        <v>4462</v>
      </c>
      <c r="B61" t="s">
        <v>1080</v>
      </c>
      <c r="C61" s="2" t="s">
        <v>248</v>
      </c>
      <c r="E61">
        <v>23355.41</v>
      </c>
      <c r="H61">
        <v>-0.32</v>
      </c>
    </row>
    <row r="62" spans="1:8">
      <c r="A62" t="s">
        <v>4462</v>
      </c>
      <c r="B62" t="s">
        <v>1080</v>
      </c>
      <c r="C62" s="2" t="s">
        <v>250</v>
      </c>
      <c r="E62">
        <v>24243.42</v>
      </c>
      <c r="H62">
        <v>1.1259999999999999</v>
      </c>
    </row>
    <row r="63" spans="1:8">
      <c r="A63" t="s">
        <v>4462</v>
      </c>
      <c r="B63" t="s">
        <v>1080</v>
      </c>
      <c r="C63" s="2" t="s">
        <v>249</v>
      </c>
      <c r="E63">
        <v>25181.119999999999</v>
      </c>
      <c r="H63">
        <v>1.2390000000000001</v>
      </c>
    </row>
    <row r="64" spans="1:8">
      <c r="A64" t="s">
        <v>4462</v>
      </c>
      <c r="B64" t="s">
        <v>1080</v>
      </c>
      <c r="C64" s="2" t="s">
        <v>251</v>
      </c>
      <c r="E64">
        <v>26585.93</v>
      </c>
      <c r="H64">
        <v>1.3560000000000001</v>
      </c>
    </row>
    <row r="65" spans="1:8">
      <c r="A65" t="s">
        <v>4462</v>
      </c>
      <c r="B65" t="s">
        <v>1080</v>
      </c>
      <c r="C65" s="2" t="s">
        <v>252</v>
      </c>
      <c r="E65">
        <v>27733.43</v>
      </c>
      <c r="H65">
        <v>1.39</v>
      </c>
    </row>
    <row r="66" spans="1:8">
      <c r="A66" t="s">
        <v>4462</v>
      </c>
      <c r="B66" t="s">
        <v>1080</v>
      </c>
      <c r="C66" s="2" t="s">
        <v>1702</v>
      </c>
      <c r="E66">
        <v>30361.22</v>
      </c>
      <c r="H66">
        <v>1.3340000000000001</v>
      </c>
    </row>
    <row r="67" spans="1:8">
      <c r="A67" t="s">
        <v>4469</v>
      </c>
      <c r="B67" t="s">
        <v>1068</v>
      </c>
      <c r="C67" s="2" t="s">
        <v>252</v>
      </c>
    </row>
    <row r="68" spans="1:8">
      <c r="A68" t="s">
        <v>4469</v>
      </c>
      <c r="B68" t="s">
        <v>1068</v>
      </c>
      <c r="C68" s="2" t="s">
        <v>250</v>
      </c>
    </row>
    <row r="69" spans="1:8">
      <c r="A69" t="s">
        <v>4469</v>
      </c>
      <c r="B69" t="s">
        <v>1068</v>
      </c>
      <c r="C69" s="2" t="s">
        <v>251</v>
      </c>
    </row>
    <row r="70" spans="1:8">
      <c r="A70" t="s">
        <v>4469</v>
      </c>
      <c r="B70" t="s">
        <v>1068</v>
      </c>
      <c r="C70" s="2" t="s">
        <v>249</v>
      </c>
      <c r="E70">
        <v>23512.34</v>
      </c>
      <c r="H70">
        <v>1.048</v>
      </c>
    </row>
    <row r="71" spans="1:8">
      <c r="A71" t="s">
        <v>4462</v>
      </c>
      <c r="B71" t="s">
        <v>1075</v>
      </c>
      <c r="C71" s="2" t="s">
        <v>248</v>
      </c>
      <c r="E71">
        <v>24516.69</v>
      </c>
      <c r="H71">
        <v>2.8879999999999999</v>
      </c>
    </row>
    <row r="72" spans="1:8">
      <c r="A72" t="s">
        <v>4462</v>
      </c>
      <c r="B72" t="s">
        <v>1075</v>
      </c>
      <c r="C72" s="2" t="s">
        <v>250</v>
      </c>
      <c r="E72">
        <v>24739.03</v>
      </c>
      <c r="H72">
        <v>1.62</v>
      </c>
    </row>
    <row r="73" spans="1:8">
      <c r="A73" t="s">
        <v>4462</v>
      </c>
      <c r="B73" t="s">
        <v>1075</v>
      </c>
      <c r="C73" s="2" t="s">
        <v>249</v>
      </c>
      <c r="E73">
        <v>26794.76</v>
      </c>
      <c r="H73">
        <v>1.4159999999999999</v>
      </c>
    </row>
    <row r="74" spans="1:8">
      <c r="A74" t="s">
        <v>4462</v>
      </c>
      <c r="B74" t="s">
        <v>1075</v>
      </c>
      <c r="C74" s="2" t="s">
        <v>251</v>
      </c>
      <c r="E74">
        <v>27780.62</v>
      </c>
      <c r="H74">
        <v>1.3740000000000001</v>
      </c>
    </row>
    <row r="75" spans="1:8">
      <c r="A75" t="s">
        <v>4462</v>
      </c>
      <c r="B75" t="s">
        <v>1075</v>
      </c>
      <c r="C75" s="2" t="s">
        <v>252</v>
      </c>
      <c r="E75">
        <v>28766.65</v>
      </c>
      <c r="H75">
        <v>1.337</v>
      </c>
    </row>
    <row r="76" spans="1:8">
      <c r="B76">
        <v>246</v>
      </c>
      <c r="C76" s="2" t="s">
        <v>248</v>
      </c>
      <c r="E76">
        <v>24698.7</v>
      </c>
    </row>
    <row r="77" spans="1:8">
      <c r="B77">
        <v>249</v>
      </c>
      <c r="C77" s="2" t="s">
        <v>251</v>
      </c>
      <c r="E77">
        <v>24917.9</v>
      </c>
    </row>
    <row r="78" spans="1:8">
      <c r="B78">
        <v>249</v>
      </c>
      <c r="C78" s="2" t="s">
        <v>252</v>
      </c>
      <c r="E78">
        <v>24934.58</v>
      </c>
    </row>
    <row r="79" spans="1:8">
      <c r="B79" t="s">
        <v>4470</v>
      </c>
      <c r="C79" s="2" t="s">
        <v>252</v>
      </c>
      <c r="E79">
        <v>25185.89</v>
      </c>
    </row>
    <row r="80" spans="1:8">
      <c r="B80">
        <v>252</v>
      </c>
      <c r="C80" s="2" t="s">
        <v>249</v>
      </c>
      <c r="E80">
        <v>25224.06</v>
      </c>
    </row>
    <row r="81" spans="1:8">
      <c r="B81">
        <v>253</v>
      </c>
      <c r="C81" s="2" t="s">
        <v>252</v>
      </c>
      <c r="E81">
        <v>25376.41</v>
      </c>
    </row>
    <row r="82" spans="1:8">
      <c r="B82">
        <v>254</v>
      </c>
      <c r="C82" s="2" t="s">
        <v>250</v>
      </c>
      <c r="E82">
        <v>25478.3</v>
      </c>
    </row>
    <row r="83" spans="1:8">
      <c r="A83" t="s">
        <v>4462</v>
      </c>
      <c r="B83" t="s">
        <v>1161</v>
      </c>
      <c r="C83" s="2" t="s">
        <v>251</v>
      </c>
    </row>
    <row r="84" spans="1:8">
      <c r="A84" t="s">
        <v>4462</v>
      </c>
      <c r="B84" t="s">
        <v>1161</v>
      </c>
      <c r="C84" s="2" t="s">
        <v>248</v>
      </c>
      <c r="E84">
        <v>25512.63</v>
      </c>
      <c r="H84">
        <v>2.8000000000000001E-2</v>
      </c>
    </row>
    <row r="85" spans="1:8">
      <c r="A85" t="s">
        <v>4462</v>
      </c>
      <c r="B85" t="s">
        <v>1161</v>
      </c>
      <c r="C85" s="2" t="s">
        <v>250</v>
      </c>
      <c r="E85">
        <v>26363.69</v>
      </c>
      <c r="H85">
        <v>1.393</v>
      </c>
    </row>
    <row r="86" spans="1:8">
      <c r="A86" t="s">
        <v>4462</v>
      </c>
      <c r="B86" t="s">
        <v>1161</v>
      </c>
      <c r="C86" s="2" t="s">
        <v>249</v>
      </c>
      <c r="E86">
        <v>28133.88</v>
      </c>
      <c r="H86">
        <v>1.3939999999999999</v>
      </c>
    </row>
    <row r="87" spans="1:8">
      <c r="A87" t="s">
        <v>4465</v>
      </c>
      <c r="B87" t="s">
        <v>4471</v>
      </c>
      <c r="C87" s="2" t="s">
        <v>249</v>
      </c>
      <c r="E87">
        <v>26219.62</v>
      </c>
      <c r="H87">
        <v>1.3380000000000001</v>
      </c>
    </row>
    <row r="88" spans="1:8">
      <c r="A88" t="s">
        <v>4465</v>
      </c>
      <c r="B88" t="s">
        <v>4471</v>
      </c>
      <c r="C88" s="2" t="s">
        <v>250</v>
      </c>
      <c r="E88">
        <v>26590.03</v>
      </c>
      <c r="H88">
        <v>1.5760000000000001</v>
      </c>
    </row>
    <row r="89" spans="1:8">
      <c r="A89" t="s">
        <v>4465</v>
      </c>
      <c r="B89" t="s">
        <v>4471</v>
      </c>
      <c r="C89" s="2" t="s">
        <v>248</v>
      </c>
      <c r="E89">
        <v>26866.05</v>
      </c>
      <c r="H89">
        <v>2.65</v>
      </c>
    </row>
    <row r="90" spans="1:8">
      <c r="B90">
        <v>266</v>
      </c>
      <c r="C90" s="2" t="s">
        <v>252</v>
      </c>
      <c r="E90">
        <v>26678.400000000001</v>
      </c>
      <c r="F90" t="s">
        <v>34</v>
      </c>
    </row>
    <row r="91" spans="1:8">
      <c r="B91" t="s">
        <v>4472</v>
      </c>
      <c r="C91" s="2" t="s">
        <v>251</v>
      </c>
      <c r="E91">
        <v>26960.46</v>
      </c>
      <c r="H91">
        <v>1.2230000000000001</v>
      </c>
    </row>
    <row r="92" spans="1:8">
      <c r="B92">
        <v>271</v>
      </c>
      <c r="C92" s="2" t="s">
        <v>249</v>
      </c>
      <c r="E92">
        <v>27167.82</v>
      </c>
      <c r="H92">
        <v>1.6060000000000001</v>
      </c>
    </row>
    <row r="93" spans="1:8">
      <c r="B93" t="s">
        <v>4473</v>
      </c>
      <c r="C93" s="2" t="s">
        <v>1702</v>
      </c>
      <c r="E93">
        <v>27783</v>
      </c>
      <c r="F93" t="s">
        <v>34</v>
      </c>
      <c r="H93">
        <v>1.351</v>
      </c>
    </row>
    <row r="94" spans="1:8">
      <c r="B94" t="s">
        <v>4474</v>
      </c>
      <c r="C94" s="2" t="s">
        <v>251</v>
      </c>
      <c r="E94">
        <v>28182.6</v>
      </c>
      <c r="H94">
        <v>1.115</v>
      </c>
    </row>
    <row r="95" spans="1:8">
      <c r="B95">
        <v>282</v>
      </c>
      <c r="C95" s="2" t="s">
        <v>1702</v>
      </c>
      <c r="E95">
        <v>28285.99</v>
      </c>
    </row>
    <row r="96" spans="1:8">
      <c r="B96" t="s">
        <v>4475</v>
      </c>
      <c r="C96" s="2" t="s">
        <v>250</v>
      </c>
      <c r="E96">
        <v>28689.31</v>
      </c>
      <c r="H96">
        <v>1.3560000000000001</v>
      </c>
    </row>
    <row r="97" spans="1:8">
      <c r="B97" t="s">
        <v>4476</v>
      </c>
      <c r="C97" s="2" t="s">
        <v>249</v>
      </c>
      <c r="E97">
        <v>28862.01</v>
      </c>
      <c r="H97">
        <v>1.2470000000000001</v>
      </c>
    </row>
    <row r="98" spans="1:8">
      <c r="B98" t="s">
        <v>4477</v>
      </c>
      <c r="C98" s="2" t="s">
        <v>249</v>
      </c>
      <c r="E98">
        <v>29343.46</v>
      </c>
      <c r="H98">
        <v>0.81399999999999995</v>
      </c>
    </row>
    <row r="99" spans="1:8">
      <c r="B99" t="s">
        <v>4478</v>
      </c>
      <c r="C99" s="2" t="s">
        <v>251</v>
      </c>
      <c r="E99">
        <v>29722.95</v>
      </c>
      <c r="H99">
        <v>1.2170000000000001</v>
      </c>
    </row>
    <row r="100" spans="1:8">
      <c r="A100" t="s">
        <v>4479</v>
      </c>
      <c r="B100" t="s">
        <v>1168</v>
      </c>
      <c r="C100" s="2" t="s">
        <v>252</v>
      </c>
    </row>
    <row r="101" spans="1:8">
      <c r="A101" t="s">
        <v>4479</v>
      </c>
      <c r="B101" t="s">
        <v>1168</v>
      </c>
      <c r="C101" s="2" t="s">
        <v>248</v>
      </c>
      <c r="E101">
        <v>29902.27</v>
      </c>
      <c r="H101">
        <v>2.9940000000000002</v>
      </c>
    </row>
    <row r="102" spans="1:8">
      <c r="A102" t="s">
        <v>4479</v>
      </c>
      <c r="B102" t="s">
        <v>1168</v>
      </c>
      <c r="C102" s="2" t="s">
        <v>250</v>
      </c>
      <c r="E102">
        <v>30664.66</v>
      </c>
      <c r="H102">
        <v>1.8120000000000001</v>
      </c>
    </row>
    <row r="103" spans="1:8">
      <c r="A103" t="s">
        <v>4479</v>
      </c>
      <c r="B103" t="s">
        <v>1168</v>
      </c>
      <c r="C103" s="2" t="s">
        <v>249</v>
      </c>
      <c r="E103">
        <v>32486.75</v>
      </c>
      <c r="H103">
        <v>1.6870000000000001</v>
      </c>
    </row>
    <row r="104" spans="1:8">
      <c r="A104" t="s">
        <v>4479</v>
      </c>
      <c r="B104" t="s">
        <v>1168</v>
      </c>
      <c r="C104" s="2" t="s">
        <v>251</v>
      </c>
      <c r="E104">
        <v>34094.660000000003</v>
      </c>
      <c r="H104">
        <v>1.5149999999999999</v>
      </c>
    </row>
    <row r="105" spans="1:8">
      <c r="B105" t="s">
        <v>4480</v>
      </c>
      <c r="C105" s="2" t="s">
        <v>251</v>
      </c>
      <c r="E105">
        <v>30015.61</v>
      </c>
    </row>
    <row r="106" spans="1:8">
      <c r="B106" t="s">
        <v>4480</v>
      </c>
      <c r="C106" s="2" t="s">
        <v>252</v>
      </c>
      <c r="E106">
        <v>30021.200000000001</v>
      </c>
      <c r="H106">
        <v>1.1859999999999999</v>
      </c>
    </row>
    <row r="107" spans="1:8">
      <c r="B107" t="s">
        <v>4481</v>
      </c>
      <c r="C107" s="2" t="s">
        <v>251</v>
      </c>
      <c r="E107">
        <v>30590.95</v>
      </c>
      <c r="H107">
        <v>1.0429999999999999</v>
      </c>
    </row>
    <row r="108" spans="1:8">
      <c r="A108" t="s">
        <v>4479</v>
      </c>
      <c r="B108" t="s">
        <v>2256</v>
      </c>
      <c r="C108" s="2" t="s">
        <v>250</v>
      </c>
      <c r="E108">
        <v>30894.67</v>
      </c>
      <c r="H108">
        <v>1.8080000000000001</v>
      </c>
    </row>
    <row r="109" spans="1:8">
      <c r="A109" t="s">
        <v>4479</v>
      </c>
      <c r="B109" t="s">
        <v>1139</v>
      </c>
      <c r="C109" s="2" t="s">
        <v>250</v>
      </c>
      <c r="E109">
        <v>31066.34</v>
      </c>
      <c r="H109">
        <v>2.1080000000000001</v>
      </c>
    </row>
    <row r="110" spans="1:8">
      <c r="A110" t="s">
        <v>4479</v>
      </c>
      <c r="B110" t="s">
        <v>1139</v>
      </c>
      <c r="C110" s="2" t="s">
        <v>249</v>
      </c>
      <c r="E110">
        <v>31961.42</v>
      </c>
      <c r="H110">
        <v>1.6839999999999999</v>
      </c>
    </row>
    <row r="111" spans="1:8">
      <c r="A111" t="s">
        <v>4479</v>
      </c>
      <c r="B111" t="s">
        <v>1139</v>
      </c>
      <c r="C111" s="2" t="s">
        <v>251</v>
      </c>
      <c r="E111">
        <v>33197.75</v>
      </c>
      <c r="H111">
        <v>1.5680000000000001</v>
      </c>
    </row>
    <row r="112" spans="1:8">
      <c r="B112" t="s">
        <v>4482</v>
      </c>
      <c r="C112" s="2" t="s">
        <v>249</v>
      </c>
      <c r="E112">
        <v>31428.05</v>
      </c>
    </row>
    <row r="113" spans="1:8">
      <c r="A113" t="s">
        <v>4465</v>
      </c>
      <c r="B113" t="s">
        <v>1234</v>
      </c>
      <c r="C113" s="2" t="s">
        <v>250</v>
      </c>
    </row>
    <row r="114" spans="1:8">
      <c r="A114" t="s">
        <v>4465</v>
      </c>
      <c r="B114" t="s">
        <v>1234</v>
      </c>
      <c r="C114" s="2" t="s">
        <v>248</v>
      </c>
      <c r="E114">
        <v>31500.99</v>
      </c>
      <c r="H114">
        <v>0.75800000000000001</v>
      </c>
    </row>
    <row r="115" spans="1:8">
      <c r="B115" t="s">
        <v>4483</v>
      </c>
      <c r="C115" s="2" t="s">
        <v>252</v>
      </c>
      <c r="E115">
        <v>31530.02</v>
      </c>
      <c r="H115">
        <v>1.0860000000000001</v>
      </c>
    </row>
    <row r="116" spans="1:8">
      <c r="B116" t="s">
        <v>4483</v>
      </c>
      <c r="C116" s="2" t="s">
        <v>250</v>
      </c>
      <c r="E116">
        <v>31553.89</v>
      </c>
      <c r="H116">
        <v>0.88800000000000001</v>
      </c>
    </row>
    <row r="117" spans="1:8">
      <c r="B117" t="s">
        <v>4484</v>
      </c>
      <c r="C117" s="2" t="s">
        <v>251</v>
      </c>
      <c r="E117">
        <v>31600.95</v>
      </c>
      <c r="H117">
        <v>1.089</v>
      </c>
    </row>
    <row r="118" spans="1:8">
      <c r="B118" t="s">
        <v>4485</v>
      </c>
      <c r="C118" s="2" t="s">
        <v>251</v>
      </c>
      <c r="E118">
        <v>32132.38</v>
      </c>
      <c r="H118">
        <v>0.84599999999999997</v>
      </c>
    </row>
    <row r="119" spans="1:8">
      <c r="B119" t="s">
        <v>4486</v>
      </c>
      <c r="C119" s="2" t="s">
        <v>250</v>
      </c>
      <c r="E119">
        <v>32214.94</v>
      </c>
      <c r="H119">
        <v>0.72799999999999998</v>
      </c>
    </row>
    <row r="120" spans="1:8">
      <c r="B120" t="s">
        <v>4487</v>
      </c>
      <c r="C120" s="2" t="s">
        <v>1702</v>
      </c>
      <c r="E120">
        <v>33070.28</v>
      </c>
      <c r="H120">
        <v>1.349</v>
      </c>
    </row>
    <row r="121" spans="1:8">
      <c r="B121" t="s">
        <v>4488</v>
      </c>
      <c r="C121" s="2" t="s">
        <v>249</v>
      </c>
      <c r="E121">
        <v>33184.97</v>
      </c>
      <c r="H121">
        <v>1.2729999999999999</v>
      </c>
    </row>
    <row r="122" spans="1:8">
      <c r="B122" t="s">
        <v>4489</v>
      </c>
      <c r="C122" s="2" t="s">
        <v>252</v>
      </c>
      <c r="E122">
        <v>33497.15</v>
      </c>
      <c r="H122">
        <v>1.0309999999999999</v>
      </c>
    </row>
    <row r="123" spans="1:8">
      <c r="B123" t="s">
        <v>4490</v>
      </c>
      <c r="C123" s="2" t="s">
        <v>252</v>
      </c>
      <c r="E123">
        <v>33615.49</v>
      </c>
      <c r="H123">
        <v>1.0669999999999999</v>
      </c>
    </row>
    <row r="124" spans="1:8">
      <c r="B124" t="s">
        <v>4491</v>
      </c>
      <c r="C124" s="2" t="s">
        <v>249</v>
      </c>
      <c r="E124">
        <v>34001.160000000003</v>
      </c>
      <c r="H124">
        <v>1.1399999999999999</v>
      </c>
    </row>
    <row r="125" spans="1:8">
      <c r="B125" t="s">
        <v>4491</v>
      </c>
      <c r="C125" s="2" t="s">
        <v>250</v>
      </c>
      <c r="E125">
        <v>34078.42</v>
      </c>
      <c r="H125">
        <v>1.089</v>
      </c>
    </row>
    <row r="126" spans="1:8">
      <c r="B126" t="s">
        <v>4492</v>
      </c>
      <c r="C126" s="2" t="s">
        <v>249</v>
      </c>
      <c r="E126">
        <v>34792.22</v>
      </c>
      <c r="H126">
        <v>1.4830000000000001</v>
      </c>
    </row>
    <row r="127" spans="1:8">
      <c r="B127" t="s">
        <v>4492</v>
      </c>
      <c r="C127" s="2" t="s">
        <v>251</v>
      </c>
      <c r="E127">
        <v>34799.71</v>
      </c>
      <c r="H127">
        <v>1.21</v>
      </c>
    </row>
    <row r="128" spans="1:8">
      <c r="B128" t="s">
        <v>4493</v>
      </c>
      <c r="C128" s="2" t="s">
        <v>252</v>
      </c>
      <c r="E128">
        <v>35217.94</v>
      </c>
      <c r="H128">
        <v>1.5820000000000001</v>
      </c>
    </row>
    <row r="129" spans="1:8">
      <c r="B129" t="s">
        <v>4493</v>
      </c>
      <c r="C129" s="2" t="s">
        <v>250</v>
      </c>
      <c r="E129">
        <v>35242.94</v>
      </c>
      <c r="H129">
        <v>1.534</v>
      </c>
    </row>
    <row r="130" spans="1:8">
      <c r="B130" t="s">
        <v>4494</v>
      </c>
      <c r="C130" s="2" t="s">
        <v>252</v>
      </c>
      <c r="E130">
        <v>35497.65</v>
      </c>
      <c r="H130">
        <v>0.94</v>
      </c>
    </row>
    <row r="131" spans="1:8">
      <c r="B131" t="s">
        <v>4495</v>
      </c>
      <c r="C131" s="2" t="s">
        <v>250</v>
      </c>
      <c r="E131">
        <v>35721</v>
      </c>
      <c r="H131">
        <v>1.01</v>
      </c>
    </row>
    <row r="132" spans="1:8">
      <c r="B132" t="s">
        <v>4495</v>
      </c>
      <c r="C132" s="2" t="s">
        <v>251</v>
      </c>
      <c r="E132">
        <v>35746.18</v>
      </c>
      <c r="H132">
        <v>1.101</v>
      </c>
    </row>
    <row r="133" spans="1:8">
      <c r="B133" t="s">
        <v>4496</v>
      </c>
      <c r="C133" s="2" t="s">
        <v>1702</v>
      </c>
      <c r="E133">
        <v>35813.47</v>
      </c>
      <c r="H133">
        <v>1.2</v>
      </c>
    </row>
    <row r="134" spans="1:8">
      <c r="B134" t="s">
        <v>4496</v>
      </c>
      <c r="C134" s="2" t="s">
        <v>249</v>
      </c>
      <c r="E134">
        <v>35876.47</v>
      </c>
      <c r="H134">
        <v>1.49</v>
      </c>
    </row>
    <row r="135" spans="1:8">
      <c r="B135" t="s">
        <v>4497</v>
      </c>
      <c r="C135" s="2" t="s">
        <v>249</v>
      </c>
      <c r="E135">
        <v>35925.089999999997</v>
      </c>
    </row>
    <row r="136" spans="1:8">
      <c r="A136" t="s">
        <v>4498</v>
      </c>
      <c r="B136" t="s">
        <v>4499</v>
      </c>
      <c r="C136" s="2" t="s">
        <v>249</v>
      </c>
      <c r="E136">
        <v>36013.97</v>
      </c>
      <c r="H136">
        <v>0.98499999999999999</v>
      </c>
    </row>
    <row r="137" spans="1:8">
      <c r="A137" t="s">
        <v>4498</v>
      </c>
      <c r="B137" t="s">
        <v>4499</v>
      </c>
      <c r="C137" s="2" t="s">
        <v>251</v>
      </c>
      <c r="E137">
        <v>36799.879999999997</v>
      </c>
      <c r="H137">
        <v>1.133</v>
      </c>
    </row>
    <row r="138" spans="1:8">
      <c r="A138" t="s">
        <v>4498</v>
      </c>
      <c r="B138" t="s">
        <v>4499</v>
      </c>
      <c r="C138" s="2" t="s">
        <v>252</v>
      </c>
      <c r="E138">
        <v>38813.32</v>
      </c>
      <c r="H138">
        <v>1.0880000000000001</v>
      </c>
    </row>
    <row r="139" spans="1:8">
      <c r="A139" t="s">
        <v>4498</v>
      </c>
      <c r="B139" t="s">
        <v>4499</v>
      </c>
      <c r="C139" s="2" t="s">
        <v>1702</v>
      </c>
      <c r="E139">
        <v>40510.379999999997</v>
      </c>
      <c r="H139">
        <v>1.264</v>
      </c>
    </row>
    <row r="140" spans="1:8">
      <c r="B140" t="s">
        <v>4500</v>
      </c>
      <c r="C140" s="2" t="s">
        <v>249</v>
      </c>
      <c r="E140">
        <v>36069.199999999997</v>
      </c>
    </row>
    <row r="141" spans="1:8">
      <c r="A141" t="s">
        <v>4498</v>
      </c>
      <c r="B141" t="s">
        <v>4501</v>
      </c>
      <c r="C141" s="2" t="s">
        <v>251</v>
      </c>
      <c r="E141">
        <v>36159.129999999997</v>
      </c>
      <c r="H141">
        <v>0.85199999999999998</v>
      </c>
    </row>
    <row r="142" spans="1:8">
      <c r="A142" t="s">
        <v>4498</v>
      </c>
      <c r="B142" t="s">
        <v>4501</v>
      </c>
      <c r="C142" s="2" t="s">
        <v>252</v>
      </c>
      <c r="E142">
        <v>37076.71</v>
      </c>
      <c r="H142">
        <v>1.046</v>
      </c>
    </row>
    <row r="143" spans="1:8">
      <c r="A143" t="s">
        <v>4498</v>
      </c>
      <c r="B143" t="s">
        <v>4501</v>
      </c>
      <c r="C143" s="2" t="s">
        <v>1702</v>
      </c>
      <c r="E143">
        <v>38194.22</v>
      </c>
    </row>
    <row r="144" spans="1:8">
      <c r="A144" t="s">
        <v>4498</v>
      </c>
      <c r="B144" t="s">
        <v>4501</v>
      </c>
      <c r="C144" s="2" t="s">
        <v>720</v>
      </c>
      <c r="E144">
        <v>39360.68</v>
      </c>
      <c r="H144">
        <v>1.0609999999999999</v>
      </c>
    </row>
    <row r="145" spans="1:8">
      <c r="B145" t="s">
        <v>4502</v>
      </c>
      <c r="C145" s="2" t="s">
        <v>248</v>
      </c>
      <c r="E145">
        <v>36345.800000000003</v>
      </c>
      <c r="H145">
        <v>0.53600000000000003</v>
      </c>
    </row>
    <row r="146" spans="1:8">
      <c r="A146" t="s">
        <v>4503</v>
      </c>
      <c r="B146" t="s">
        <v>4504</v>
      </c>
      <c r="C146" s="2" t="s">
        <v>252</v>
      </c>
    </row>
    <row r="147" spans="1:8">
      <c r="A147" t="s">
        <v>4503</v>
      </c>
      <c r="B147" t="s">
        <v>4504</v>
      </c>
      <c r="C147" s="2" t="s">
        <v>251</v>
      </c>
    </row>
    <row r="148" spans="1:8">
      <c r="A148" t="s">
        <v>4503</v>
      </c>
      <c r="B148" t="s">
        <v>4504</v>
      </c>
      <c r="C148" s="2" t="s">
        <v>250</v>
      </c>
      <c r="E148">
        <v>36580.06</v>
      </c>
      <c r="H148">
        <v>0.71599999999999997</v>
      </c>
    </row>
    <row r="149" spans="1:8">
      <c r="A149" t="s">
        <v>4503</v>
      </c>
      <c r="B149" t="s">
        <v>4504</v>
      </c>
      <c r="C149" s="2" t="s">
        <v>249</v>
      </c>
      <c r="E149">
        <v>38447.99</v>
      </c>
      <c r="H149">
        <v>1.0449999999999999</v>
      </c>
    </row>
    <row r="150" spans="1:8">
      <c r="B150" t="s">
        <v>4505</v>
      </c>
      <c r="C150" s="2" t="s">
        <v>252</v>
      </c>
      <c r="E150">
        <v>36631.15</v>
      </c>
      <c r="H150">
        <v>1.2110000000000001</v>
      </c>
    </row>
    <row r="151" spans="1:8">
      <c r="A151" t="s">
        <v>4503</v>
      </c>
      <c r="B151" t="s">
        <v>4506</v>
      </c>
      <c r="C151" s="2" t="s">
        <v>1702</v>
      </c>
    </row>
    <row r="152" spans="1:8">
      <c r="A152" t="s">
        <v>4503</v>
      </c>
      <c r="B152" t="s">
        <v>4506</v>
      </c>
      <c r="C152" s="2" t="s">
        <v>249</v>
      </c>
      <c r="E152">
        <v>36825.97</v>
      </c>
      <c r="H152">
        <v>0.82499999999999996</v>
      </c>
    </row>
    <row r="153" spans="1:8">
      <c r="A153" t="s">
        <v>4503</v>
      </c>
      <c r="B153" t="s">
        <v>4506</v>
      </c>
      <c r="C153" s="2" t="s">
        <v>251</v>
      </c>
      <c r="E153">
        <v>38679.050000000003</v>
      </c>
      <c r="H153">
        <v>1.0549999999999999</v>
      </c>
    </row>
    <row r="154" spans="1:8">
      <c r="A154" t="s">
        <v>4503</v>
      </c>
      <c r="B154" t="s">
        <v>4506</v>
      </c>
      <c r="C154" s="2" t="s">
        <v>252</v>
      </c>
      <c r="E154">
        <v>40686.42</v>
      </c>
      <c r="H154">
        <v>1.208</v>
      </c>
    </row>
    <row r="155" spans="1:8">
      <c r="B155" t="s">
        <v>4507</v>
      </c>
      <c r="C155" s="2" t="s">
        <v>251</v>
      </c>
      <c r="E155">
        <v>37143.25</v>
      </c>
    </row>
    <row r="156" spans="1:8">
      <c r="B156" t="s">
        <v>4507</v>
      </c>
      <c r="C156" s="2" t="s">
        <v>249</v>
      </c>
      <c r="E156">
        <v>37145.599999999999</v>
      </c>
      <c r="H156">
        <v>1.5009999999999999</v>
      </c>
    </row>
    <row r="157" spans="1:8">
      <c r="B157" t="s">
        <v>4508</v>
      </c>
      <c r="C157" s="2" t="s">
        <v>248</v>
      </c>
      <c r="E157">
        <v>37461.46</v>
      </c>
      <c r="H157">
        <v>1.2569999999999999</v>
      </c>
    </row>
    <row r="158" spans="1:8">
      <c r="B158" t="s">
        <v>4509</v>
      </c>
      <c r="C158" s="2" t="s">
        <v>250</v>
      </c>
      <c r="E158">
        <v>37523.54</v>
      </c>
      <c r="H158">
        <v>0.97299999999999998</v>
      </c>
    </row>
    <row r="159" spans="1:8">
      <c r="B159" t="s">
        <v>4509</v>
      </c>
      <c r="C159" s="2" t="s">
        <v>251</v>
      </c>
      <c r="E159">
        <v>37561.25</v>
      </c>
      <c r="H159">
        <v>1.242</v>
      </c>
    </row>
    <row r="160" spans="1:8">
      <c r="B160" t="s">
        <v>4510</v>
      </c>
      <c r="C160" s="2" t="s">
        <v>249</v>
      </c>
      <c r="E160">
        <v>37630.089999999997</v>
      </c>
      <c r="H160">
        <v>1.2110000000000001</v>
      </c>
    </row>
    <row r="161" spans="1:8">
      <c r="B161" t="s">
        <v>4511</v>
      </c>
      <c r="C161" s="2" t="s">
        <v>250</v>
      </c>
      <c r="E161">
        <v>37760.67</v>
      </c>
      <c r="H161">
        <v>0.51800000000000002</v>
      </c>
    </row>
    <row r="162" spans="1:8">
      <c r="A162" t="s">
        <v>4498</v>
      </c>
      <c r="B162" t="s">
        <v>4512</v>
      </c>
      <c r="C162" s="2" t="s">
        <v>1322</v>
      </c>
    </row>
    <row r="163" spans="1:8">
      <c r="A163" t="s">
        <v>4498</v>
      </c>
      <c r="B163" t="s">
        <v>4512</v>
      </c>
      <c r="C163" s="2" t="s">
        <v>252</v>
      </c>
      <c r="E163">
        <v>37942.839999999997</v>
      </c>
      <c r="H163">
        <v>0.878</v>
      </c>
    </row>
    <row r="164" spans="1:8">
      <c r="A164" t="s">
        <v>4498</v>
      </c>
      <c r="B164" t="s">
        <v>4512</v>
      </c>
      <c r="C164" s="2" t="s">
        <v>1702</v>
      </c>
      <c r="E164">
        <v>39468.629999999997</v>
      </c>
      <c r="H164">
        <v>1.04</v>
      </c>
    </row>
    <row r="165" spans="1:8">
      <c r="A165" t="s">
        <v>4498</v>
      </c>
      <c r="B165" t="s">
        <v>4512</v>
      </c>
      <c r="C165" s="2" t="s">
        <v>720</v>
      </c>
      <c r="E165">
        <v>40911.83</v>
      </c>
    </row>
    <row r="166" spans="1:8">
      <c r="B166" t="s">
        <v>4513</v>
      </c>
      <c r="C166" s="2" t="s">
        <v>251</v>
      </c>
      <c r="E166">
        <v>38253.39</v>
      </c>
      <c r="H166">
        <v>1.1120000000000001</v>
      </c>
    </row>
    <row r="167" spans="1:8">
      <c r="A167" t="s">
        <v>4514</v>
      </c>
      <c r="B167" t="s">
        <v>1149</v>
      </c>
      <c r="C167" s="2" t="s">
        <v>248</v>
      </c>
      <c r="E167">
        <v>38507.54</v>
      </c>
      <c r="H167">
        <v>0.73</v>
      </c>
    </row>
    <row r="168" spans="1:8">
      <c r="A168" t="s">
        <v>4514</v>
      </c>
      <c r="B168" t="s">
        <v>1149</v>
      </c>
      <c r="C168" s="2" t="s">
        <v>250</v>
      </c>
      <c r="E168">
        <v>39587.81</v>
      </c>
      <c r="H168">
        <v>1.083</v>
      </c>
    </row>
    <row r="169" spans="1:8">
      <c r="A169" t="s">
        <v>4514</v>
      </c>
      <c r="B169" t="s">
        <v>1149</v>
      </c>
      <c r="C169" s="2" t="s">
        <v>249</v>
      </c>
      <c r="E169">
        <v>41580.980000000003</v>
      </c>
      <c r="H169">
        <v>1.3660000000000001</v>
      </c>
    </row>
    <row r="170" spans="1:8">
      <c r="A170" t="s">
        <v>4514</v>
      </c>
      <c r="B170" t="s">
        <v>1149</v>
      </c>
      <c r="C170" s="2" t="s">
        <v>251</v>
      </c>
      <c r="E170">
        <v>43177.37</v>
      </c>
      <c r="H170">
        <v>1.3560000000000001</v>
      </c>
    </row>
    <row r="171" spans="1:8">
      <c r="A171" t="s">
        <v>4514</v>
      </c>
      <c r="B171" t="s">
        <v>1149</v>
      </c>
      <c r="C171" s="2" t="s">
        <v>252</v>
      </c>
      <c r="E171">
        <v>44806.64</v>
      </c>
      <c r="H171">
        <v>1.417</v>
      </c>
    </row>
    <row r="172" spans="1:8">
      <c r="A172" t="s">
        <v>4514</v>
      </c>
      <c r="B172" t="s">
        <v>1149</v>
      </c>
      <c r="C172" s="2" t="s">
        <v>1702</v>
      </c>
      <c r="E172">
        <v>45838.75</v>
      </c>
      <c r="H172">
        <v>1.28</v>
      </c>
    </row>
    <row r="173" spans="1:8">
      <c r="B173" t="s">
        <v>4515</v>
      </c>
      <c r="C173" s="2" t="s">
        <v>250</v>
      </c>
      <c r="E173">
        <v>38545.699999999997</v>
      </c>
      <c r="H173">
        <v>1.359</v>
      </c>
    </row>
    <row r="174" spans="1:8">
      <c r="B174" t="s">
        <v>4516</v>
      </c>
      <c r="C174" s="2" t="s">
        <v>249</v>
      </c>
      <c r="E174">
        <v>38753.75</v>
      </c>
      <c r="H174">
        <v>0.95199999999999996</v>
      </c>
    </row>
    <row r="175" spans="1:8">
      <c r="B175" t="s">
        <v>4517</v>
      </c>
      <c r="C175" s="2" t="s">
        <v>248</v>
      </c>
      <c r="E175">
        <v>38845.25</v>
      </c>
      <c r="H175">
        <v>0.46</v>
      </c>
    </row>
    <row r="176" spans="1:8">
      <c r="B176" t="s">
        <v>4518</v>
      </c>
      <c r="C176" s="2" t="s">
        <v>250</v>
      </c>
      <c r="E176">
        <v>38994.33</v>
      </c>
      <c r="H176">
        <v>1.0269999999999999</v>
      </c>
    </row>
    <row r="177" spans="2:8">
      <c r="B177" t="s">
        <v>4519</v>
      </c>
      <c r="C177" s="2" t="s">
        <v>249</v>
      </c>
      <c r="E177">
        <v>39059.519999999997</v>
      </c>
      <c r="H177">
        <v>1.054</v>
      </c>
    </row>
    <row r="178" spans="2:8">
      <c r="B178" t="s">
        <v>4520</v>
      </c>
      <c r="C178" s="2" t="s">
        <v>250</v>
      </c>
      <c r="E178">
        <v>39253.07</v>
      </c>
      <c r="H178">
        <v>1.1279999999999999</v>
      </c>
    </row>
    <row r="179" spans="2:8">
      <c r="B179" t="s">
        <v>4521</v>
      </c>
      <c r="C179" s="2" t="s">
        <v>252</v>
      </c>
      <c r="E179">
        <v>39422.400000000001</v>
      </c>
      <c r="H179">
        <v>1.143</v>
      </c>
    </row>
    <row r="180" spans="2:8">
      <c r="B180" t="s">
        <v>4521</v>
      </c>
      <c r="C180" s="2" t="s">
        <v>248</v>
      </c>
      <c r="E180">
        <v>39490.14</v>
      </c>
      <c r="H180">
        <v>0.56000000000000005</v>
      </c>
    </row>
    <row r="181" spans="2:8">
      <c r="B181" t="s">
        <v>4522</v>
      </c>
      <c r="C181" s="2" t="s">
        <v>251</v>
      </c>
      <c r="E181">
        <v>39526.699999999997</v>
      </c>
    </row>
    <row r="182" spans="2:8">
      <c r="B182" t="s">
        <v>4523</v>
      </c>
      <c r="C182" s="2" t="s">
        <v>251</v>
      </c>
      <c r="E182">
        <v>39641.24</v>
      </c>
      <c r="H182">
        <v>1.0900000000000001</v>
      </c>
    </row>
    <row r="183" spans="2:8">
      <c r="B183" t="s">
        <v>4523</v>
      </c>
      <c r="C183" s="2" t="s">
        <v>249</v>
      </c>
      <c r="E183">
        <v>39688.199999999997</v>
      </c>
      <c r="H183">
        <v>0.93</v>
      </c>
    </row>
    <row r="184" spans="2:8">
      <c r="B184" t="s">
        <v>4524</v>
      </c>
      <c r="C184" s="2" t="s">
        <v>249</v>
      </c>
      <c r="E184">
        <v>39786.519999999997</v>
      </c>
      <c r="H184">
        <v>1.0649999999999999</v>
      </c>
    </row>
    <row r="185" spans="2:8">
      <c r="B185" t="s">
        <v>4525</v>
      </c>
      <c r="C185" s="2" t="s">
        <v>251</v>
      </c>
      <c r="E185">
        <v>39936.129999999997</v>
      </c>
      <c r="H185">
        <v>1.2949999999999999</v>
      </c>
    </row>
    <row r="186" spans="2:8">
      <c r="B186" t="s">
        <v>4526</v>
      </c>
      <c r="C186" s="2" t="s">
        <v>250</v>
      </c>
      <c r="E186">
        <v>40230.01</v>
      </c>
      <c r="H186">
        <v>1.232</v>
      </c>
    </row>
    <row r="187" spans="2:8">
      <c r="B187" t="s">
        <v>4526</v>
      </c>
      <c r="C187" s="2" t="s">
        <v>248</v>
      </c>
      <c r="E187">
        <v>40244.74</v>
      </c>
      <c r="H187">
        <v>1.056</v>
      </c>
    </row>
    <row r="188" spans="2:8">
      <c r="B188" t="s">
        <v>4527</v>
      </c>
      <c r="C188" s="2" t="s">
        <v>251</v>
      </c>
      <c r="E188">
        <v>40333.03</v>
      </c>
      <c r="H188">
        <v>1.159</v>
      </c>
    </row>
    <row r="189" spans="2:8">
      <c r="B189" t="s">
        <v>4527</v>
      </c>
      <c r="C189" s="2" t="s">
        <v>250</v>
      </c>
      <c r="E189">
        <v>40339.199999999997</v>
      </c>
      <c r="H189">
        <v>0.95599999999999996</v>
      </c>
    </row>
    <row r="190" spans="2:8">
      <c r="B190" t="s">
        <v>3560</v>
      </c>
      <c r="C190" s="2" t="s">
        <v>251</v>
      </c>
      <c r="E190">
        <v>40755.9</v>
      </c>
      <c r="H190">
        <v>1.1339999999999999</v>
      </c>
    </row>
    <row r="191" spans="2:8">
      <c r="B191" t="s">
        <v>4528</v>
      </c>
      <c r="C191" s="2" t="s">
        <v>249</v>
      </c>
      <c r="E191">
        <v>40851.61</v>
      </c>
      <c r="H191">
        <v>1.2649999999999999</v>
      </c>
    </row>
    <row r="192" spans="2:8">
      <c r="B192" t="s">
        <v>4529</v>
      </c>
      <c r="C192" s="2" t="s">
        <v>251</v>
      </c>
      <c r="E192">
        <v>40981.79</v>
      </c>
      <c r="H192">
        <v>1.2450000000000001</v>
      </c>
    </row>
    <row r="193" spans="1:8">
      <c r="B193" t="s">
        <v>4530</v>
      </c>
      <c r="C193" s="2" t="s">
        <v>249</v>
      </c>
      <c r="E193">
        <v>41010.07</v>
      </c>
      <c r="H193">
        <v>1.2270000000000001</v>
      </c>
    </row>
    <row r="194" spans="1:8">
      <c r="A194" t="s">
        <v>4531</v>
      </c>
      <c r="B194" t="s">
        <v>1328</v>
      </c>
      <c r="C194" s="2" t="s">
        <v>248</v>
      </c>
      <c r="E194">
        <v>41151.26</v>
      </c>
      <c r="H194">
        <v>-0.65700000000000003</v>
      </c>
    </row>
    <row r="195" spans="1:8">
      <c r="A195" t="s">
        <v>4531</v>
      </c>
      <c r="B195" t="s">
        <v>1328</v>
      </c>
      <c r="C195" s="2" t="s">
        <v>250</v>
      </c>
      <c r="E195">
        <v>41594.83</v>
      </c>
      <c r="H195">
        <v>0.996</v>
      </c>
    </row>
    <row r="196" spans="1:8">
      <c r="A196" t="s">
        <v>4531</v>
      </c>
      <c r="B196" t="s">
        <v>1328</v>
      </c>
      <c r="C196" s="2" t="s">
        <v>249</v>
      </c>
      <c r="E196">
        <v>42501.59</v>
      </c>
      <c r="H196">
        <v>1.25</v>
      </c>
    </row>
    <row r="197" spans="1:8">
      <c r="A197" t="s">
        <v>4531</v>
      </c>
      <c r="B197" t="s">
        <v>1328</v>
      </c>
      <c r="C197" s="2" t="s">
        <v>251</v>
      </c>
      <c r="E197">
        <v>43982.43</v>
      </c>
      <c r="H197">
        <v>1.4330000000000001</v>
      </c>
    </row>
    <row r="198" spans="1:8">
      <c r="A198" t="s">
        <v>4531</v>
      </c>
      <c r="B198" t="s">
        <v>1328</v>
      </c>
      <c r="C198" s="2" t="s">
        <v>252</v>
      </c>
      <c r="E198">
        <v>45636.83</v>
      </c>
      <c r="H198">
        <v>1.411</v>
      </c>
    </row>
    <row r="199" spans="1:8">
      <c r="A199" t="s">
        <v>4531</v>
      </c>
      <c r="B199" t="s">
        <v>1328</v>
      </c>
      <c r="C199" s="2" t="s">
        <v>1702</v>
      </c>
      <c r="E199">
        <v>47319.57</v>
      </c>
      <c r="H199">
        <v>1.4339999999999999</v>
      </c>
    </row>
    <row r="200" spans="1:8">
      <c r="B200" t="s">
        <v>3561</v>
      </c>
      <c r="C200" s="2" t="s">
        <v>248</v>
      </c>
      <c r="E200">
        <v>41179.9</v>
      </c>
      <c r="H200">
        <v>0.434</v>
      </c>
    </row>
    <row r="201" spans="1:8">
      <c r="B201" t="s">
        <v>3561</v>
      </c>
      <c r="C201" s="2" t="s">
        <v>250</v>
      </c>
      <c r="E201">
        <v>41197.67</v>
      </c>
      <c r="H201">
        <v>1.335</v>
      </c>
    </row>
    <row r="202" spans="1:8">
      <c r="B202" t="s">
        <v>4532</v>
      </c>
      <c r="C202" s="2" t="s">
        <v>251</v>
      </c>
      <c r="E202">
        <v>41256.559999999998</v>
      </c>
      <c r="H202">
        <v>1.5329999999999999</v>
      </c>
    </row>
    <row r="203" spans="1:8">
      <c r="B203" t="s">
        <v>4533</v>
      </c>
      <c r="C203" s="2" t="s">
        <v>3998</v>
      </c>
      <c r="E203">
        <v>41584.94</v>
      </c>
    </row>
    <row r="204" spans="1:8">
      <c r="B204" t="s">
        <v>3563</v>
      </c>
      <c r="C204" s="2" t="s">
        <v>250</v>
      </c>
      <c r="E204">
        <v>41692.639999999999</v>
      </c>
      <c r="H204">
        <v>1.1830000000000001</v>
      </c>
    </row>
    <row r="205" spans="1:8">
      <c r="B205" t="s">
        <v>4534</v>
      </c>
      <c r="C205" s="2" t="s">
        <v>249</v>
      </c>
      <c r="E205">
        <v>41879.230000000003</v>
      </c>
      <c r="H205">
        <v>1.1990000000000001</v>
      </c>
    </row>
    <row r="206" spans="1:8">
      <c r="B206" t="s">
        <v>4535</v>
      </c>
      <c r="C206" s="2" t="s">
        <v>248</v>
      </c>
      <c r="E206">
        <v>41902.92</v>
      </c>
      <c r="H206">
        <v>0.745</v>
      </c>
    </row>
    <row r="207" spans="1:8">
      <c r="B207" t="s">
        <v>4536</v>
      </c>
      <c r="C207" s="2" t="s">
        <v>251</v>
      </c>
      <c r="E207">
        <v>42017.95</v>
      </c>
      <c r="H207">
        <v>1.107</v>
      </c>
    </row>
    <row r="208" spans="1:8">
      <c r="B208" t="s">
        <v>4537</v>
      </c>
      <c r="C208" s="2" t="s">
        <v>250</v>
      </c>
      <c r="E208">
        <v>42178.76</v>
      </c>
      <c r="F208" t="s">
        <v>34</v>
      </c>
    </row>
    <row r="209" spans="1:8">
      <c r="B209" t="s">
        <v>4538</v>
      </c>
      <c r="C209" s="2" t="s">
        <v>252</v>
      </c>
      <c r="E209">
        <v>42247</v>
      </c>
      <c r="H209">
        <v>1.268</v>
      </c>
    </row>
    <row r="210" spans="1:8">
      <c r="B210" t="s">
        <v>4539</v>
      </c>
      <c r="C210" s="2" t="s">
        <v>250</v>
      </c>
      <c r="E210">
        <v>42408.160000000003</v>
      </c>
      <c r="H210">
        <v>1.2270000000000001</v>
      </c>
    </row>
    <row r="211" spans="1:8">
      <c r="B211" t="s">
        <v>4540</v>
      </c>
      <c r="C211" s="2" t="s">
        <v>251</v>
      </c>
      <c r="E211">
        <v>42751.72</v>
      </c>
      <c r="H211">
        <v>1.17</v>
      </c>
    </row>
    <row r="212" spans="1:8">
      <c r="B212" t="s">
        <v>4540</v>
      </c>
      <c r="C212" s="2" t="s">
        <v>250</v>
      </c>
      <c r="E212">
        <v>42778.7</v>
      </c>
      <c r="H212">
        <v>1.321</v>
      </c>
    </row>
    <row r="213" spans="1:8">
      <c r="B213" t="s">
        <v>4541</v>
      </c>
      <c r="C213" s="2" t="s">
        <v>249</v>
      </c>
      <c r="E213">
        <v>42844.73</v>
      </c>
      <c r="H213">
        <v>1.409</v>
      </c>
    </row>
    <row r="214" spans="1:8">
      <c r="B214" t="s">
        <v>4542</v>
      </c>
      <c r="C214" s="2" t="s">
        <v>251</v>
      </c>
      <c r="E214">
        <v>42953.1</v>
      </c>
      <c r="H214" t="s">
        <v>4543</v>
      </c>
    </row>
    <row r="215" spans="1:8">
      <c r="B215" t="s">
        <v>4542</v>
      </c>
      <c r="C215" s="2" t="s">
        <v>249</v>
      </c>
      <c r="E215">
        <v>42982.8</v>
      </c>
      <c r="H215">
        <v>1.1719999999999999</v>
      </c>
    </row>
    <row r="216" spans="1:8">
      <c r="B216" t="s">
        <v>4544</v>
      </c>
      <c r="C216" s="2" t="s">
        <v>252</v>
      </c>
      <c r="E216">
        <v>43090.28</v>
      </c>
      <c r="H216">
        <v>1.222</v>
      </c>
    </row>
    <row r="217" spans="1:8">
      <c r="B217" t="s">
        <v>4545</v>
      </c>
      <c r="C217" s="2" t="s">
        <v>250</v>
      </c>
      <c r="E217">
        <v>43167.07</v>
      </c>
      <c r="H217">
        <v>1.135</v>
      </c>
    </row>
    <row r="218" spans="1:8">
      <c r="B218" t="s">
        <v>4545</v>
      </c>
      <c r="C218" s="2" t="s">
        <v>1702</v>
      </c>
      <c r="E218">
        <v>43185.09</v>
      </c>
      <c r="H218">
        <v>1.2190000000000001</v>
      </c>
    </row>
    <row r="219" spans="1:8">
      <c r="B219" t="s">
        <v>4546</v>
      </c>
      <c r="C219" s="2" t="s">
        <v>249</v>
      </c>
      <c r="E219">
        <v>43239.22</v>
      </c>
      <c r="H219">
        <v>0.97299999999999998</v>
      </c>
    </row>
    <row r="220" spans="1:8">
      <c r="B220" t="s">
        <v>4547</v>
      </c>
      <c r="C220" s="2" t="s">
        <v>252</v>
      </c>
      <c r="E220">
        <v>43391.71</v>
      </c>
    </row>
    <row r="221" spans="1:8">
      <c r="A221" t="s">
        <v>4514</v>
      </c>
      <c r="B221" t="s">
        <v>1184</v>
      </c>
      <c r="C221" s="2" t="s">
        <v>248</v>
      </c>
      <c r="E221">
        <v>43478.2</v>
      </c>
      <c r="H221">
        <v>2.1800000000000002</v>
      </c>
    </row>
    <row r="222" spans="1:8">
      <c r="A222" t="s">
        <v>4514</v>
      </c>
      <c r="B222" t="s">
        <v>1184</v>
      </c>
      <c r="C222" s="2" t="s">
        <v>250</v>
      </c>
      <c r="E222">
        <v>44689.31</v>
      </c>
      <c r="H222">
        <v>1.8089999999999999</v>
      </c>
    </row>
    <row r="223" spans="1:8">
      <c r="A223" t="s">
        <v>4514</v>
      </c>
      <c r="B223" t="s">
        <v>1184</v>
      </c>
      <c r="C223" s="2" t="s">
        <v>249</v>
      </c>
      <c r="E223">
        <v>46323.31</v>
      </c>
      <c r="H223">
        <v>1.601</v>
      </c>
    </row>
    <row r="224" spans="1:8">
      <c r="B224">
        <v>434</v>
      </c>
      <c r="C224" s="2" t="s">
        <v>252</v>
      </c>
      <c r="E224">
        <v>43493.24</v>
      </c>
      <c r="F224" t="s">
        <v>34</v>
      </c>
    </row>
    <row r="225" spans="1:8">
      <c r="B225" t="s">
        <v>4548</v>
      </c>
      <c r="C225" s="2" t="s">
        <v>249</v>
      </c>
      <c r="E225">
        <v>43496.65</v>
      </c>
      <c r="H225">
        <v>1.22</v>
      </c>
    </row>
    <row r="226" spans="1:8">
      <c r="B226" t="s">
        <v>4549</v>
      </c>
      <c r="C226" s="2" t="s">
        <v>251</v>
      </c>
      <c r="E226">
        <v>43533.3</v>
      </c>
      <c r="H226">
        <v>1.2150000000000001</v>
      </c>
    </row>
    <row r="227" spans="1:8">
      <c r="B227" t="s">
        <v>4549</v>
      </c>
      <c r="C227" s="2" t="s">
        <v>249</v>
      </c>
      <c r="E227">
        <v>43550.78</v>
      </c>
      <c r="H227">
        <v>0.94499999999999995</v>
      </c>
    </row>
    <row r="228" spans="1:8">
      <c r="B228" t="s">
        <v>4550</v>
      </c>
      <c r="C228" s="2" t="s">
        <v>250</v>
      </c>
      <c r="E228">
        <v>43818.63</v>
      </c>
      <c r="H228">
        <v>1.6419999999999999</v>
      </c>
    </row>
    <row r="229" spans="1:8">
      <c r="B229" t="s">
        <v>4550</v>
      </c>
      <c r="C229" s="2" t="s">
        <v>249</v>
      </c>
      <c r="E229">
        <v>43880.84</v>
      </c>
      <c r="H229">
        <v>1.284</v>
      </c>
    </row>
    <row r="230" spans="1:8">
      <c r="A230" t="s">
        <v>4531</v>
      </c>
      <c r="B230" t="s">
        <v>1304</v>
      </c>
      <c r="C230" s="2" t="s">
        <v>250</v>
      </c>
      <c r="E230">
        <v>43964.5</v>
      </c>
    </row>
    <row r="231" spans="1:8">
      <c r="A231" t="s">
        <v>4531</v>
      </c>
      <c r="B231" t="s">
        <v>1304</v>
      </c>
      <c r="C231" s="2" t="s">
        <v>249</v>
      </c>
      <c r="E231">
        <v>44461.599999999999</v>
      </c>
      <c r="H231">
        <v>0.98799999999999999</v>
      </c>
    </row>
    <row r="232" spans="1:8">
      <c r="A232" t="s">
        <v>4531</v>
      </c>
      <c r="B232" t="s">
        <v>1304</v>
      </c>
      <c r="C232" s="2" t="s">
        <v>251</v>
      </c>
      <c r="E232">
        <v>47817.16</v>
      </c>
    </row>
    <row r="233" spans="1:8">
      <c r="A233" t="s">
        <v>4531</v>
      </c>
      <c r="B233" t="s">
        <v>1304</v>
      </c>
      <c r="C233" s="2" t="s">
        <v>252</v>
      </c>
      <c r="E233">
        <v>50509.7</v>
      </c>
    </row>
    <row r="234" spans="1:8">
      <c r="B234">
        <v>440</v>
      </c>
      <c r="C234" s="2" t="s">
        <v>250</v>
      </c>
      <c r="E234">
        <v>44095.95</v>
      </c>
    </row>
    <row r="235" spans="1:8">
      <c r="B235" t="s">
        <v>4551</v>
      </c>
      <c r="C235" s="2" t="s">
        <v>1702</v>
      </c>
      <c r="E235">
        <v>44141.31</v>
      </c>
      <c r="H235">
        <v>1.1220000000000001</v>
      </c>
    </row>
    <row r="236" spans="1:8">
      <c r="B236" t="s">
        <v>4551</v>
      </c>
      <c r="C236" s="2" t="s">
        <v>248</v>
      </c>
      <c r="E236">
        <v>44146.16</v>
      </c>
      <c r="H236">
        <v>0.71399999999999997</v>
      </c>
    </row>
    <row r="237" spans="1:8">
      <c r="B237" t="s">
        <v>4551</v>
      </c>
      <c r="C237" s="2" t="s">
        <v>251</v>
      </c>
      <c r="E237">
        <v>44165.58</v>
      </c>
      <c r="H237">
        <v>1.0669999999999999</v>
      </c>
    </row>
    <row r="238" spans="1:8">
      <c r="B238" t="s">
        <v>4551</v>
      </c>
      <c r="C238" s="2" t="s">
        <v>252</v>
      </c>
      <c r="E238">
        <v>44173.62</v>
      </c>
      <c r="H238">
        <v>1.115</v>
      </c>
    </row>
    <row r="239" spans="1:8">
      <c r="B239" t="s">
        <v>4552</v>
      </c>
      <c r="C239" s="2" t="s">
        <v>250</v>
      </c>
      <c r="E239">
        <v>44350.19</v>
      </c>
      <c r="H239">
        <v>1.3089999999999999</v>
      </c>
    </row>
    <row r="240" spans="1:8">
      <c r="B240" t="s">
        <v>4552</v>
      </c>
      <c r="C240" s="2" t="s">
        <v>249</v>
      </c>
      <c r="E240">
        <v>44386.400000000001</v>
      </c>
      <c r="H240">
        <v>1.179</v>
      </c>
    </row>
    <row r="241" spans="1:8">
      <c r="B241" t="s">
        <v>4553</v>
      </c>
      <c r="C241" s="2" t="s">
        <v>252</v>
      </c>
      <c r="E241">
        <v>44402.559999999998</v>
      </c>
      <c r="H241">
        <v>1.1459999999999999</v>
      </c>
    </row>
    <row r="242" spans="1:8">
      <c r="B242" t="s">
        <v>4553</v>
      </c>
      <c r="C242" s="2" t="s">
        <v>250</v>
      </c>
      <c r="E242">
        <v>44483.96</v>
      </c>
      <c r="H242">
        <v>1.034</v>
      </c>
    </row>
    <row r="243" spans="1:8">
      <c r="A243" t="s">
        <v>4514</v>
      </c>
      <c r="B243" t="s">
        <v>1179</v>
      </c>
      <c r="C243" s="2" t="s">
        <v>248</v>
      </c>
      <c r="E243">
        <v>44518.1</v>
      </c>
      <c r="H243">
        <v>2.3780000000000001</v>
      </c>
    </row>
    <row r="244" spans="1:8">
      <c r="A244" t="s">
        <v>4514</v>
      </c>
      <c r="B244" t="s">
        <v>1179</v>
      </c>
      <c r="C244" s="2" t="s">
        <v>250</v>
      </c>
      <c r="E244">
        <v>45246.22</v>
      </c>
      <c r="H244">
        <v>1.85</v>
      </c>
    </row>
    <row r="245" spans="1:8">
      <c r="A245" t="s">
        <v>4514</v>
      </c>
      <c r="B245" t="s">
        <v>1179</v>
      </c>
      <c r="C245" s="2" t="s">
        <v>249</v>
      </c>
      <c r="E245">
        <v>45255.98</v>
      </c>
      <c r="H245">
        <v>1.6619999999999999</v>
      </c>
    </row>
    <row r="246" spans="1:8">
      <c r="A246" t="s">
        <v>4514</v>
      </c>
      <c r="B246" t="s">
        <v>1179</v>
      </c>
      <c r="C246" s="2" t="s">
        <v>251</v>
      </c>
      <c r="E246">
        <v>46409.79</v>
      </c>
      <c r="H246">
        <v>1.532</v>
      </c>
    </row>
    <row r="247" spans="1:8">
      <c r="A247" t="s">
        <v>4514</v>
      </c>
      <c r="B247" t="s">
        <v>1179</v>
      </c>
      <c r="C247" s="2" t="s">
        <v>252</v>
      </c>
      <c r="E247">
        <v>47799.81</v>
      </c>
    </row>
    <row r="248" spans="1:8">
      <c r="B248" t="s">
        <v>4554</v>
      </c>
      <c r="C248" s="2" t="s">
        <v>251</v>
      </c>
      <c r="E248">
        <v>44669.23</v>
      </c>
      <c r="H248">
        <v>1.6819999999999999</v>
      </c>
    </row>
    <row r="249" spans="1:8">
      <c r="B249" t="s">
        <v>4555</v>
      </c>
      <c r="C249" s="2" t="s">
        <v>251</v>
      </c>
      <c r="E249">
        <v>44693.4</v>
      </c>
      <c r="H249">
        <v>1.2270000000000001</v>
      </c>
    </row>
    <row r="250" spans="1:8">
      <c r="B250" t="s">
        <v>4556</v>
      </c>
      <c r="C250" s="2" t="s">
        <v>1702</v>
      </c>
      <c r="E250">
        <v>45057.34</v>
      </c>
      <c r="H250">
        <v>1.056</v>
      </c>
    </row>
    <row r="251" spans="1:8">
      <c r="B251" t="s">
        <v>4557</v>
      </c>
      <c r="C251" s="2" t="s">
        <v>251</v>
      </c>
      <c r="E251">
        <v>45114.71</v>
      </c>
      <c r="H251">
        <v>1.337</v>
      </c>
    </row>
    <row r="252" spans="1:8">
      <c r="A252" t="s">
        <v>4514</v>
      </c>
      <c r="B252" t="s">
        <v>1182</v>
      </c>
      <c r="C252" s="2" t="s">
        <v>250</v>
      </c>
      <c r="E252">
        <v>45241.73</v>
      </c>
      <c r="H252">
        <v>1.2450000000000001</v>
      </c>
    </row>
    <row r="253" spans="1:8">
      <c r="A253" t="s">
        <v>4514</v>
      </c>
      <c r="B253" t="s">
        <v>1182</v>
      </c>
      <c r="C253" s="2" t="s">
        <v>249</v>
      </c>
      <c r="E253">
        <v>45714.68</v>
      </c>
    </row>
    <row r="254" spans="1:8">
      <c r="A254" t="s">
        <v>4514</v>
      </c>
      <c r="B254" t="s">
        <v>1182</v>
      </c>
      <c r="C254" s="2" t="s">
        <v>251</v>
      </c>
      <c r="E254">
        <v>47621.88</v>
      </c>
    </row>
    <row r="255" spans="1:8">
      <c r="B255" t="s">
        <v>4558</v>
      </c>
      <c r="C255" s="2" t="s">
        <v>250</v>
      </c>
      <c r="E255">
        <v>45276.39</v>
      </c>
    </row>
    <row r="256" spans="1:8">
      <c r="B256" t="s">
        <v>4559</v>
      </c>
      <c r="C256" s="2" t="s">
        <v>251</v>
      </c>
      <c r="E256">
        <v>45648.26</v>
      </c>
      <c r="H256">
        <v>1.264</v>
      </c>
    </row>
    <row r="257" spans="2:8">
      <c r="B257" t="s">
        <v>4560</v>
      </c>
      <c r="C257" s="2" t="s">
        <v>250</v>
      </c>
      <c r="E257">
        <v>45723.58</v>
      </c>
      <c r="H257">
        <v>1.1120000000000001</v>
      </c>
    </row>
    <row r="258" spans="2:8">
      <c r="B258" t="s">
        <v>4561</v>
      </c>
      <c r="C258" s="2" t="s">
        <v>251</v>
      </c>
      <c r="E258">
        <v>45841.599999999999</v>
      </c>
    </row>
    <row r="259" spans="2:8">
      <c r="B259" t="s">
        <v>4562</v>
      </c>
      <c r="C259" s="2" t="s">
        <v>4563</v>
      </c>
      <c r="E259">
        <v>46060.6</v>
      </c>
    </row>
    <row r="260" spans="2:8">
      <c r="B260" t="s">
        <v>4564</v>
      </c>
      <c r="C260" s="2" t="s">
        <v>249</v>
      </c>
      <c r="E260">
        <v>46116.93</v>
      </c>
      <c r="H260">
        <v>1.254</v>
      </c>
    </row>
    <row r="261" spans="2:8">
      <c r="B261" t="s">
        <v>4564</v>
      </c>
      <c r="C261" s="2" t="s">
        <v>251</v>
      </c>
      <c r="E261">
        <v>46172.44</v>
      </c>
      <c r="H261">
        <v>1.1859999999999999</v>
      </c>
    </row>
    <row r="262" spans="2:8">
      <c r="B262" t="s">
        <v>4564</v>
      </c>
      <c r="C262" s="2" t="s">
        <v>250</v>
      </c>
      <c r="E262">
        <v>46176.76</v>
      </c>
      <c r="H262">
        <v>0.89600000000000002</v>
      </c>
    </row>
    <row r="263" spans="2:8">
      <c r="B263" t="s">
        <v>4565</v>
      </c>
      <c r="C263" s="2" t="s">
        <v>1702</v>
      </c>
      <c r="E263">
        <v>46552.13</v>
      </c>
      <c r="H263">
        <v>1.266</v>
      </c>
    </row>
    <row r="264" spans="2:8">
      <c r="B264" t="s">
        <v>4566</v>
      </c>
      <c r="C264" s="2" t="s">
        <v>250</v>
      </c>
      <c r="E264">
        <v>46887.79</v>
      </c>
      <c r="H264">
        <v>0.73699999999999999</v>
      </c>
    </row>
    <row r="265" spans="2:8">
      <c r="B265" t="s">
        <v>3572</v>
      </c>
      <c r="C265" s="2" t="s">
        <v>249</v>
      </c>
      <c r="E265">
        <v>46933.38</v>
      </c>
    </row>
    <row r="266" spans="2:8">
      <c r="B266" t="s">
        <v>3572</v>
      </c>
      <c r="C266" s="2" t="s">
        <v>250</v>
      </c>
      <c r="E266">
        <v>46974.03</v>
      </c>
      <c r="H266">
        <v>1.871</v>
      </c>
    </row>
    <row r="267" spans="2:8">
      <c r="B267">
        <v>469</v>
      </c>
      <c r="C267" s="2" t="s">
        <v>249</v>
      </c>
      <c r="E267">
        <v>46981.89</v>
      </c>
    </row>
    <row r="268" spans="2:8">
      <c r="B268" t="s">
        <v>4567</v>
      </c>
      <c r="C268" s="2" t="s">
        <v>251</v>
      </c>
      <c r="E268">
        <v>47013.02</v>
      </c>
    </row>
    <row r="269" spans="2:8">
      <c r="B269" t="s">
        <v>4568</v>
      </c>
      <c r="C269" s="2" t="s">
        <v>1702</v>
      </c>
      <c r="E269">
        <v>47339.48</v>
      </c>
    </row>
    <row r="270" spans="2:8">
      <c r="B270" t="s">
        <v>4568</v>
      </c>
      <c r="C270" s="2" t="s">
        <v>249</v>
      </c>
      <c r="E270">
        <v>47397.06</v>
      </c>
    </row>
    <row r="271" spans="2:8">
      <c r="B271" t="s">
        <v>4569</v>
      </c>
      <c r="C271" s="2" t="s">
        <v>251</v>
      </c>
      <c r="E271">
        <v>47625.01</v>
      </c>
    </row>
    <row r="272" spans="2:8">
      <c r="B272" t="s">
        <v>4570</v>
      </c>
      <c r="C272" s="2" t="s">
        <v>251</v>
      </c>
      <c r="E272">
        <v>47931.16</v>
      </c>
    </row>
    <row r="273" spans="2:6">
      <c r="B273" t="s">
        <v>4571</v>
      </c>
      <c r="C273" s="2" t="s">
        <v>251</v>
      </c>
      <c r="E273">
        <v>48069.61</v>
      </c>
    </row>
    <row r="274" spans="2:6">
      <c r="B274">
        <v>482</v>
      </c>
      <c r="C274" s="2" t="s">
        <v>249</v>
      </c>
      <c r="E274">
        <v>48290.45</v>
      </c>
    </row>
    <row r="275" spans="2:6">
      <c r="B275" t="s">
        <v>4572</v>
      </c>
      <c r="C275" s="2" t="s">
        <v>249</v>
      </c>
      <c r="E275">
        <v>48369.35</v>
      </c>
    </row>
    <row r="276" spans="2:6">
      <c r="B276" t="s">
        <v>4573</v>
      </c>
      <c r="C276" s="2" t="s">
        <v>252</v>
      </c>
      <c r="E276">
        <v>48468.959999999999</v>
      </c>
    </row>
    <row r="277" spans="2:6">
      <c r="B277" t="s">
        <v>4574</v>
      </c>
      <c r="C277" s="2" t="s">
        <v>252</v>
      </c>
      <c r="E277">
        <v>49149.3</v>
      </c>
    </row>
    <row r="278" spans="2:6">
      <c r="B278" t="s">
        <v>4575</v>
      </c>
      <c r="C278" s="2" t="s">
        <v>251</v>
      </c>
      <c r="E278">
        <v>49551</v>
      </c>
      <c r="F278" t="s">
        <v>34</v>
      </c>
    </row>
    <row r="279" spans="2:6">
      <c r="B279" t="s">
        <v>4576</v>
      </c>
      <c r="C279" s="2" t="s">
        <v>251</v>
      </c>
      <c r="E279">
        <v>49599.21</v>
      </c>
    </row>
    <row r="280" spans="2:6">
      <c r="B280" t="s">
        <v>4577</v>
      </c>
      <c r="C280" s="2" t="s">
        <v>251</v>
      </c>
      <c r="E280">
        <v>49882.5</v>
      </c>
      <c r="F280" t="s">
        <v>34</v>
      </c>
    </row>
    <row r="281" spans="2:6">
      <c r="B281" t="s">
        <v>4578</v>
      </c>
      <c r="C281" s="2" t="s">
        <v>249</v>
      </c>
      <c r="E281">
        <v>49981.32</v>
      </c>
    </row>
    <row r="282" spans="2:6">
      <c r="B282" t="s">
        <v>4579</v>
      </c>
      <c r="C282" s="2" t="s">
        <v>252</v>
      </c>
      <c r="E282">
        <v>50014.07</v>
      </c>
    </row>
    <row r="283" spans="2:6">
      <c r="B283" t="s">
        <v>4580</v>
      </c>
      <c r="C283" s="2" t="s">
        <v>250</v>
      </c>
      <c r="E283">
        <v>50145.55</v>
      </c>
    </row>
    <row r="284" spans="2:6">
      <c r="B284" t="s">
        <v>4581</v>
      </c>
      <c r="C284" s="2" t="s">
        <v>252</v>
      </c>
      <c r="E284">
        <v>50439.3</v>
      </c>
    </row>
    <row r="285" spans="2:6">
      <c r="B285" t="s">
        <v>4582</v>
      </c>
      <c r="C285" s="2" t="s">
        <v>250</v>
      </c>
      <c r="E285">
        <v>50877.75</v>
      </c>
    </row>
    <row r="286" spans="2:6">
      <c r="B286" t="s">
        <v>4583</v>
      </c>
      <c r="C286" s="2" t="s">
        <v>251</v>
      </c>
      <c r="E286">
        <v>51418.1</v>
      </c>
    </row>
    <row r="287" spans="2:6">
      <c r="B287" t="s">
        <v>4584</v>
      </c>
      <c r="C287" s="2" t="s">
        <v>251</v>
      </c>
      <c r="E287">
        <v>51982.5</v>
      </c>
    </row>
    <row r="288" spans="2:6">
      <c r="B288">
        <v>527</v>
      </c>
      <c r="C288" s="2" t="s">
        <v>252</v>
      </c>
      <c r="E288">
        <v>52723.73</v>
      </c>
    </row>
    <row r="289" spans="1:9">
      <c r="B289" t="s">
        <v>4585</v>
      </c>
      <c r="C289" s="2" t="s">
        <v>250</v>
      </c>
      <c r="E289">
        <v>52907.8</v>
      </c>
    </row>
    <row r="290" spans="1:9">
      <c r="A290" t="s">
        <v>4586</v>
      </c>
      <c r="B290" t="s">
        <v>1363</v>
      </c>
      <c r="C290" s="2" t="s">
        <v>249</v>
      </c>
    </row>
    <row r="291" spans="1:9">
      <c r="A291" t="s">
        <v>4586</v>
      </c>
      <c r="B291" t="s">
        <v>1363</v>
      </c>
      <c r="C291" s="2" t="s">
        <v>252</v>
      </c>
    </row>
    <row r="292" spans="1:9">
      <c r="A292" t="s">
        <v>4586</v>
      </c>
      <c r="B292" t="s">
        <v>1363</v>
      </c>
      <c r="C292" s="2" t="s">
        <v>251</v>
      </c>
    </row>
    <row r="293" spans="1:9">
      <c r="A293" t="s">
        <v>4586</v>
      </c>
      <c r="B293" t="s">
        <v>1363</v>
      </c>
      <c r="C293" s="2" t="s">
        <v>250</v>
      </c>
      <c r="E293">
        <v>54440.57</v>
      </c>
      <c r="H293">
        <v>0.502</v>
      </c>
    </row>
    <row r="294" spans="1:9">
      <c r="B294">
        <v>544</v>
      </c>
      <c r="C294" s="2" t="s">
        <v>249</v>
      </c>
      <c r="E294">
        <v>54481.09</v>
      </c>
    </row>
    <row r="295" spans="1:9">
      <c r="B295">
        <v>552</v>
      </c>
      <c r="C295" s="2" t="s">
        <v>252</v>
      </c>
      <c r="E295">
        <v>55232.59</v>
      </c>
    </row>
    <row r="296" spans="1:9">
      <c r="B296">
        <v>560</v>
      </c>
      <c r="C296" s="2" t="s">
        <v>249</v>
      </c>
      <c r="E296">
        <v>56050.2</v>
      </c>
    </row>
    <row r="297" spans="1:9">
      <c r="B297">
        <v>583</v>
      </c>
      <c r="C297" s="2" t="s">
        <v>250</v>
      </c>
      <c r="E297">
        <v>58391.76</v>
      </c>
    </row>
    <row r="298" spans="1:9">
      <c r="B298" t="s">
        <v>4587</v>
      </c>
      <c r="C298" s="2" t="s">
        <v>250</v>
      </c>
      <c r="E298">
        <v>58583.88</v>
      </c>
    </row>
    <row r="299" spans="1:9">
      <c r="A299" t="s">
        <v>4588</v>
      </c>
      <c r="B299" t="s">
        <v>202</v>
      </c>
      <c r="C299" s="2" t="s">
        <v>203</v>
      </c>
      <c r="E299">
        <v>60891.4</v>
      </c>
      <c r="G299">
        <v>0.2</v>
      </c>
      <c r="I299" t="s">
        <v>4589</v>
      </c>
    </row>
    <row r="300" spans="1:9">
      <c r="B300">
        <v>615</v>
      </c>
      <c r="C300" s="2" t="s">
        <v>248</v>
      </c>
      <c r="E300">
        <v>61551.17</v>
      </c>
    </row>
    <row r="301" spans="1:9">
      <c r="B301">
        <v>617</v>
      </c>
      <c r="C301" s="2" t="s">
        <v>249</v>
      </c>
      <c r="E301">
        <v>61737</v>
      </c>
    </row>
    <row r="302" spans="1:9">
      <c r="B302">
        <v>617</v>
      </c>
      <c r="C302" s="2" t="s">
        <v>250</v>
      </c>
      <c r="E302">
        <v>61789.26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5200-7B9F-4DCA-A9D1-D315FEF76DF5}">
  <dimension ref="A1:J510"/>
  <sheetViews>
    <sheetView workbookViewId="0">
      <selection sqref="A1:J1048576"/>
    </sheetView>
  </sheetViews>
  <sheetFormatPr defaultRowHeight="15"/>
  <cols>
    <col min="1" max="1" width="19.7109375" bestFit="1" customWidth="1"/>
    <col min="2" max="2" width="8.710937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42.85546875" bestFit="1" customWidth="1"/>
    <col min="10" max="10" width="10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4590</v>
      </c>
      <c r="B2" t="s">
        <v>4388</v>
      </c>
      <c r="C2">
        <v>0</v>
      </c>
      <c r="E2">
        <v>0</v>
      </c>
      <c r="G2">
        <v>0.1</v>
      </c>
      <c r="I2">
        <v>69</v>
      </c>
      <c r="J2" t="s">
        <v>4591</v>
      </c>
    </row>
    <row r="3" spans="1:10">
      <c r="A3" t="s">
        <v>4590</v>
      </c>
      <c r="B3" t="s">
        <v>4388</v>
      </c>
      <c r="C3">
        <v>1</v>
      </c>
      <c r="E3">
        <v>1670.29</v>
      </c>
      <c r="G3">
        <v>0.1</v>
      </c>
      <c r="H3">
        <v>1.51</v>
      </c>
      <c r="I3">
        <v>84</v>
      </c>
      <c r="J3" t="s">
        <v>4591</v>
      </c>
    </row>
    <row r="4" spans="1:10">
      <c r="A4" t="s">
        <v>4590</v>
      </c>
      <c r="B4" t="s">
        <v>4388</v>
      </c>
      <c r="C4">
        <v>2</v>
      </c>
      <c r="E4">
        <v>3325.53</v>
      </c>
      <c r="G4">
        <v>0.1</v>
      </c>
      <c r="H4">
        <v>1.48</v>
      </c>
      <c r="I4">
        <v>88</v>
      </c>
      <c r="J4" t="s">
        <v>4591</v>
      </c>
    </row>
    <row r="5" spans="1:10">
      <c r="A5" t="s">
        <v>4590</v>
      </c>
      <c r="B5" t="s">
        <v>4388</v>
      </c>
      <c r="C5">
        <v>3</v>
      </c>
      <c r="E5">
        <v>4830</v>
      </c>
      <c r="G5">
        <v>0.1</v>
      </c>
      <c r="H5">
        <v>1.5</v>
      </c>
      <c r="I5">
        <v>85</v>
      </c>
      <c r="J5" t="s">
        <v>4591</v>
      </c>
    </row>
    <row r="6" spans="1:10">
      <c r="A6" t="s">
        <v>4590</v>
      </c>
      <c r="B6" t="s">
        <v>4388</v>
      </c>
      <c r="C6">
        <v>4</v>
      </c>
      <c r="E6">
        <v>6219.33</v>
      </c>
      <c r="G6">
        <v>0.1</v>
      </c>
      <c r="H6">
        <v>1.49</v>
      </c>
      <c r="I6">
        <v>77</v>
      </c>
      <c r="J6" t="s">
        <v>4591</v>
      </c>
    </row>
    <row r="7" spans="1:10">
      <c r="A7" t="s">
        <v>4592</v>
      </c>
      <c r="B7" t="s">
        <v>4593</v>
      </c>
      <c r="C7">
        <v>3</v>
      </c>
      <c r="E7">
        <v>2951.29</v>
      </c>
      <c r="G7">
        <v>0.1</v>
      </c>
      <c r="H7">
        <v>1.98</v>
      </c>
      <c r="I7">
        <v>94</v>
      </c>
      <c r="J7" t="s">
        <v>4591</v>
      </c>
    </row>
    <row r="8" spans="1:10">
      <c r="A8" t="s">
        <v>4590</v>
      </c>
      <c r="B8" t="s">
        <v>883</v>
      </c>
      <c r="C8">
        <v>0</v>
      </c>
      <c r="E8">
        <v>9528.06</v>
      </c>
      <c r="G8">
        <v>0.1</v>
      </c>
      <c r="I8" t="s">
        <v>4594</v>
      </c>
      <c r="J8" t="s">
        <v>4591</v>
      </c>
    </row>
    <row r="9" spans="1:10">
      <c r="A9" t="s">
        <v>4590</v>
      </c>
      <c r="B9" t="s">
        <v>883</v>
      </c>
      <c r="C9">
        <v>1</v>
      </c>
      <c r="E9">
        <v>13307.1</v>
      </c>
      <c r="G9">
        <v>0.1</v>
      </c>
      <c r="H9">
        <v>1.32</v>
      </c>
      <c r="I9">
        <v>67</v>
      </c>
      <c r="J9" t="s">
        <v>4591</v>
      </c>
    </row>
    <row r="10" spans="1:10">
      <c r="A10" t="s">
        <v>4590</v>
      </c>
      <c r="B10" t="s">
        <v>883</v>
      </c>
      <c r="C10">
        <v>2</v>
      </c>
      <c r="E10">
        <v>19253.560000000001</v>
      </c>
      <c r="G10">
        <v>0.1</v>
      </c>
      <c r="H10">
        <v>1.18</v>
      </c>
      <c r="I10" t="s">
        <v>4595</v>
      </c>
      <c r="J10" t="s">
        <v>4591</v>
      </c>
    </row>
    <row r="11" spans="1:10">
      <c r="A11" t="s">
        <v>4590</v>
      </c>
      <c r="B11" t="s">
        <v>892</v>
      </c>
      <c r="C11">
        <v>4</v>
      </c>
      <c r="E11">
        <v>12161.96</v>
      </c>
      <c r="G11">
        <v>0.1</v>
      </c>
      <c r="H11">
        <v>0.99</v>
      </c>
      <c r="I11" t="s">
        <v>4596</v>
      </c>
      <c r="J11" t="s">
        <v>4591</v>
      </c>
    </row>
    <row r="12" spans="1:10">
      <c r="A12" t="s">
        <v>4590</v>
      </c>
      <c r="B12" t="s">
        <v>892</v>
      </c>
      <c r="C12">
        <v>5</v>
      </c>
      <c r="E12">
        <v>15069.93</v>
      </c>
      <c r="G12">
        <v>0.1</v>
      </c>
      <c r="H12">
        <v>1.05</v>
      </c>
      <c r="I12">
        <v>61</v>
      </c>
      <c r="J12" t="s">
        <v>4591</v>
      </c>
    </row>
    <row r="13" spans="1:10">
      <c r="A13" t="s">
        <v>4590</v>
      </c>
      <c r="B13" t="s">
        <v>892</v>
      </c>
      <c r="C13">
        <v>6</v>
      </c>
      <c r="E13">
        <v>17008.5</v>
      </c>
      <c r="G13">
        <v>0.1</v>
      </c>
      <c r="H13">
        <v>1.4</v>
      </c>
      <c r="I13">
        <v>80</v>
      </c>
      <c r="J13" t="s">
        <v>4591</v>
      </c>
    </row>
    <row r="14" spans="1:10">
      <c r="A14" t="s">
        <v>4590</v>
      </c>
      <c r="B14" t="s">
        <v>511</v>
      </c>
      <c r="C14">
        <v>3</v>
      </c>
      <c r="E14">
        <v>13348.56</v>
      </c>
      <c r="G14">
        <v>0.1</v>
      </c>
      <c r="H14">
        <v>0.92</v>
      </c>
      <c r="I14" t="s">
        <v>4597</v>
      </c>
      <c r="J14" t="s">
        <v>4591</v>
      </c>
    </row>
    <row r="15" spans="1:10">
      <c r="A15" t="s">
        <v>4590</v>
      </c>
      <c r="B15" t="s">
        <v>511</v>
      </c>
      <c r="C15">
        <v>4</v>
      </c>
      <c r="E15">
        <v>16431.310000000001</v>
      </c>
      <c r="G15">
        <v>0.1</v>
      </c>
      <c r="H15">
        <v>1.02</v>
      </c>
      <c r="I15" t="s">
        <v>4598</v>
      </c>
      <c r="J15" t="s">
        <v>4591</v>
      </c>
    </row>
    <row r="16" spans="1:10">
      <c r="A16" t="s">
        <v>4590</v>
      </c>
      <c r="B16" t="s">
        <v>511</v>
      </c>
      <c r="C16">
        <v>5</v>
      </c>
      <c r="E16">
        <v>19826.04</v>
      </c>
      <c r="G16">
        <v>0.1</v>
      </c>
      <c r="H16">
        <v>1.2</v>
      </c>
      <c r="I16" t="s">
        <v>4599</v>
      </c>
      <c r="J16" t="s">
        <v>4591</v>
      </c>
    </row>
    <row r="17" spans="1:10">
      <c r="A17" t="s">
        <v>4590</v>
      </c>
      <c r="B17" t="s">
        <v>891</v>
      </c>
      <c r="C17">
        <v>2</v>
      </c>
      <c r="E17">
        <v>13777.71</v>
      </c>
      <c r="G17">
        <v>0.1</v>
      </c>
      <c r="H17">
        <v>1.0900000000000001</v>
      </c>
      <c r="I17" t="s">
        <v>4600</v>
      </c>
      <c r="J17" t="s">
        <v>4591</v>
      </c>
    </row>
    <row r="18" spans="1:10">
      <c r="A18" t="s">
        <v>4590</v>
      </c>
      <c r="B18" t="s">
        <v>891</v>
      </c>
      <c r="C18">
        <v>4</v>
      </c>
      <c r="E18">
        <v>17107.009999999998</v>
      </c>
      <c r="G18">
        <v>0.1</v>
      </c>
      <c r="H18">
        <v>1.19</v>
      </c>
      <c r="I18" t="s">
        <v>4601</v>
      </c>
      <c r="J18" t="s">
        <v>4591</v>
      </c>
    </row>
    <row r="19" spans="1:10">
      <c r="A19" t="s">
        <v>4590</v>
      </c>
      <c r="B19" t="s">
        <v>891</v>
      </c>
      <c r="C19">
        <v>3</v>
      </c>
      <c r="E19">
        <v>17701.18</v>
      </c>
      <c r="G19">
        <v>0.1</v>
      </c>
      <c r="H19">
        <v>1.02</v>
      </c>
      <c r="I19" t="s">
        <v>4602</v>
      </c>
      <c r="J19" t="s">
        <v>4591</v>
      </c>
    </row>
    <row r="20" spans="1:10">
      <c r="A20" t="s">
        <v>4590</v>
      </c>
      <c r="B20" t="s">
        <v>257</v>
      </c>
      <c r="C20">
        <v>2</v>
      </c>
      <c r="E20">
        <v>14976.18</v>
      </c>
      <c r="G20">
        <v>0.1</v>
      </c>
      <c r="H20">
        <v>1.06</v>
      </c>
      <c r="I20" t="s">
        <v>4603</v>
      </c>
      <c r="J20" t="s">
        <v>4591</v>
      </c>
    </row>
    <row r="21" spans="1:10">
      <c r="A21" t="s">
        <v>4590</v>
      </c>
      <c r="B21" t="s">
        <v>257</v>
      </c>
      <c r="C21">
        <v>3</v>
      </c>
      <c r="E21">
        <v>15460.01</v>
      </c>
      <c r="G21">
        <v>0.1</v>
      </c>
      <c r="H21">
        <v>1.17</v>
      </c>
      <c r="I21" t="s">
        <v>4604</v>
      </c>
      <c r="J21" t="s">
        <v>4591</v>
      </c>
    </row>
    <row r="22" spans="1:10">
      <c r="A22" t="s">
        <v>4590</v>
      </c>
      <c r="B22" t="s">
        <v>257</v>
      </c>
      <c r="C22">
        <v>1</v>
      </c>
      <c r="E22">
        <v>18082.830000000002</v>
      </c>
      <c r="G22">
        <v>0.1</v>
      </c>
      <c r="H22">
        <v>0.7</v>
      </c>
      <c r="I22" t="s">
        <v>4605</v>
      </c>
      <c r="J22" t="s">
        <v>4591</v>
      </c>
    </row>
    <row r="23" spans="1:10">
      <c r="A23" t="s">
        <v>4606</v>
      </c>
      <c r="B23" t="s">
        <v>470</v>
      </c>
      <c r="C23">
        <v>2</v>
      </c>
      <c r="E23">
        <v>18116.84</v>
      </c>
      <c r="G23">
        <v>0.1</v>
      </c>
      <c r="H23">
        <v>1.08</v>
      </c>
      <c r="I23" t="s">
        <v>4607</v>
      </c>
      <c r="J23" t="s">
        <v>4591</v>
      </c>
    </row>
    <row r="24" spans="1:10">
      <c r="A24" t="s">
        <v>4606</v>
      </c>
      <c r="B24" t="s">
        <v>470</v>
      </c>
      <c r="C24">
        <v>3</v>
      </c>
      <c r="E24">
        <v>18974.509999999998</v>
      </c>
      <c r="G24">
        <v>0.1</v>
      </c>
      <c r="H24">
        <v>1.06</v>
      </c>
      <c r="I24">
        <v>61</v>
      </c>
      <c r="J24" t="s">
        <v>4591</v>
      </c>
    </row>
    <row r="25" spans="1:10">
      <c r="A25" t="s">
        <v>4606</v>
      </c>
      <c r="B25" t="s">
        <v>470</v>
      </c>
      <c r="C25">
        <v>4</v>
      </c>
      <c r="E25">
        <v>19256.240000000002</v>
      </c>
      <c r="G25">
        <v>0.1</v>
      </c>
      <c r="H25">
        <v>1.2</v>
      </c>
      <c r="I25">
        <v>82</v>
      </c>
      <c r="J25" t="s">
        <v>4591</v>
      </c>
    </row>
    <row r="26" spans="1:10">
      <c r="A26" t="s">
        <v>4606</v>
      </c>
      <c r="B26" t="s">
        <v>470</v>
      </c>
      <c r="C26">
        <v>5</v>
      </c>
      <c r="E26">
        <v>19535.009999999998</v>
      </c>
      <c r="G26">
        <v>0.1</v>
      </c>
      <c r="H26">
        <v>1.21</v>
      </c>
      <c r="I26" t="s">
        <v>4608</v>
      </c>
      <c r="J26" t="s">
        <v>4591</v>
      </c>
    </row>
    <row r="27" spans="1:10">
      <c r="A27" t="s">
        <v>4606</v>
      </c>
      <c r="B27" t="s">
        <v>470</v>
      </c>
      <c r="C27">
        <v>6</v>
      </c>
      <c r="E27">
        <v>19648.54</v>
      </c>
      <c r="G27">
        <v>0.1</v>
      </c>
      <c r="H27">
        <v>1.32</v>
      </c>
      <c r="I27">
        <v>92</v>
      </c>
      <c r="J27" t="s">
        <v>4591</v>
      </c>
    </row>
    <row r="28" spans="1:10">
      <c r="A28" t="s">
        <v>4592</v>
      </c>
      <c r="B28" t="s">
        <v>4609</v>
      </c>
      <c r="C28">
        <v>2</v>
      </c>
      <c r="E28">
        <v>18280.48</v>
      </c>
      <c r="G28">
        <v>0.1</v>
      </c>
      <c r="H28">
        <v>1.43</v>
      </c>
      <c r="I28">
        <v>52</v>
      </c>
      <c r="J28" t="s">
        <v>4591</v>
      </c>
    </row>
    <row r="29" spans="1:10">
      <c r="A29" t="s">
        <v>4610</v>
      </c>
      <c r="B29" t="s">
        <v>2078</v>
      </c>
      <c r="C29">
        <v>0</v>
      </c>
      <c r="E29">
        <v>19389.43</v>
      </c>
      <c r="G29">
        <v>0.1</v>
      </c>
      <c r="I29">
        <v>77</v>
      </c>
      <c r="J29" t="s">
        <v>4591</v>
      </c>
    </row>
    <row r="30" spans="1:10">
      <c r="A30" t="s">
        <v>4610</v>
      </c>
      <c r="B30" t="s">
        <v>2078</v>
      </c>
      <c r="C30">
        <v>1</v>
      </c>
      <c r="E30">
        <v>20064.3</v>
      </c>
      <c r="G30">
        <v>0.1</v>
      </c>
      <c r="H30">
        <v>1.54</v>
      </c>
      <c r="I30">
        <v>70</v>
      </c>
      <c r="J30" t="s">
        <v>4591</v>
      </c>
    </row>
    <row r="31" spans="1:10">
      <c r="A31" t="s">
        <v>4610</v>
      </c>
      <c r="B31" t="s">
        <v>2078</v>
      </c>
      <c r="C31">
        <v>2</v>
      </c>
      <c r="E31">
        <v>21448.76</v>
      </c>
      <c r="G31">
        <v>0.1</v>
      </c>
      <c r="H31">
        <v>1.48</v>
      </c>
      <c r="I31">
        <v>77</v>
      </c>
      <c r="J31" t="s">
        <v>4591</v>
      </c>
    </row>
    <row r="32" spans="1:10">
      <c r="A32" t="s">
        <v>4610</v>
      </c>
      <c r="B32" t="s">
        <v>2078</v>
      </c>
      <c r="C32">
        <v>3</v>
      </c>
      <c r="E32">
        <v>23047.31</v>
      </c>
      <c r="G32">
        <v>0.1</v>
      </c>
      <c r="H32">
        <v>1.53</v>
      </c>
      <c r="I32">
        <v>89</v>
      </c>
      <c r="J32" t="s">
        <v>4591</v>
      </c>
    </row>
    <row r="33" spans="1:10">
      <c r="A33" t="s">
        <v>4610</v>
      </c>
      <c r="B33" t="s">
        <v>2078</v>
      </c>
      <c r="C33">
        <v>4</v>
      </c>
      <c r="E33">
        <v>24763.39</v>
      </c>
      <c r="G33">
        <v>0.1</v>
      </c>
      <c r="H33">
        <v>1.5</v>
      </c>
      <c r="I33">
        <v>93</v>
      </c>
      <c r="J33" t="s">
        <v>4591</v>
      </c>
    </row>
    <row r="34" spans="1:10">
      <c r="A34" t="s">
        <v>4610</v>
      </c>
      <c r="B34" t="s">
        <v>2078</v>
      </c>
      <c r="C34">
        <v>5</v>
      </c>
      <c r="E34">
        <v>26676.48</v>
      </c>
      <c r="G34">
        <v>0.1</v>
      </c>
      <c r="H34">
        <v>1.46</v>
      </c>
      <c r="I34">
        <v>89</v>
      </c>
      <c r="J34" t="s">
        <v>4591</v>
      </c>
    </row>
    <row r="35" spans="1:10">
      <c r="A35" t="s">
        <v>4610</v>
      </c>
      <c r="B35" t="s">
        <v>2078</v>
      </c>
      <c r="C35">
        <v>6</v>
      </c>
      <c r="E35">
        <v>29643.06</v>
      </c>
      <c r="G35">
        <v>0.1</v>
      </c>
      <c r="I35">
        <v>89</v>
      </c>
      <c r="J35" t="s">
        <v>4591</v>
      </c>
    </row>
    <row r="36" spans="1:10">
      <c r="A36" t="s">
        <v>4611</v>
      </c>
      <c r="B36" t="s">
        <v>985</v>
      </c>
      <c r="C36">
        <v>3</v>
      </c>
      <c r="E36">
        <v>19827.68</v>
      </c>
      <c r="G36">
        <v>0.1</v>
      </c>
      <c r="H36">
        <v>1.28</v>
      </c>
      <c r="I36" t="s">
        <v>4612</v>
      </c>
      <c r="J36" t="s">
        <v>4591</v>
      </c>
    </row>
    <row r="37" spans="1:10">
      <c r="A37" t="s">
        <v>4611</v>
      </c>
      <c r="B37" t="s">
        <v>985</v>
      </c>
      <c r="C37">
        <v>1</v>
      </c>
      <c r="E37">
        <v>20427.84</v>
      </c>
      <c r="G37">
        <v>0.1</v>
      </c>
      <c r="H37">
        <v>2.1</v>
      </c>
      <c r="I37">
        <v>65</v>
      </c>
      <c r="J37" t="s">
        <v>4591</v>
      </c>
    </row>
    <row r="38" spans="1:10">
      <c r="A38" t="s">
        <v>4611</v>
      </c>
      <c r="B38" t="s">
        <v>985</v>
      </c>
      <c r="C38">
        <v>2</v>
      </c>
      <c r="E38">
        <v>20983.02</v>
      </c>
      <c r="G38">
        <v>0.1</v>
      </c>
      <c r="I38" t="s">
        <v>4613</v>
      </c>
      <c r="J38" t="s">
        <v>4591</v>
      </c>
    </row>
    <row r="39" spans="1:10">
      <c r="A39" t="s">
        <v>4590</v>
      </c>
      <c r="B39" t="s">
        <v>4614</v>
      </c>
      <c r="C39">
        <v>0</v>
      </c>
      <c r="E39">
        <v>20174.2</v>
      </c>
      <c r="G39">
        <v>0.1</v>
      </c>
      <c r="I39">
        <v>60</v>
      </c>
      <c r="J39" t="s">
        <v>4591</v>
      </c>
    </row>
    <row r="40" spans="1:10">
      <c r="A40" t="s">
        <v>4610</v>
      </c>
      <c r="B40" t="s">
        <v>2084</v>
      </c>
      <c r="C40">
        <v>1</v>
      </c>
      <c r="E40">
        <v>21453.9</v>
      </c>
      <c r="G40">
        <v>0.1</v>
      </c>
      <c r="H40">
        <v>2.5099999999999998</v>
      </c>
      <c r="I40" t="s">
        <v>4615</v>
      </c>
      <c r="J40" t="s">
        <v>4591</v>
      </c>
    </row>
    <row r="41" spans="1:10">
      <c r="A41" t="s">
        <v>4610</v>
      </c>
      <c r="B41" t="s">
        <v>2084</v>
      </c>
      <c r="C41">
        <v>2</v>
      </c>
      <c r="E41">
        <v>23964.67</v>
      </c>
      <c r="G41">
        <v>0.1</v>
      </c>
      <c r="H41">
        <v>1.93</v>
      </c>
      <c r="I41">
        <v>51</v>
      </c>
      <c r="J41" t="s">
        <v>4591</v>
      </c>
    </row>
    <row r="42" spans="1:10">
      <c r="A42" t="s">
        <v>4610</v>
      </c>
      <c r="B42" t="s">
        <v>2084</v>
      </c>
      <c r="C42">
        <v>3</v>
      </c>
      <c r="E42">
        <v>26189.200000000001</v>
      </c>
      <c r="G42">
        <v>0.1</v>
      </c>
      <c r="H42">
        <v>1.8</v>
      </c>
      <c r="I42" t="s">
        <v>4616</v>
      </c>
      <c r="J42" t="s">
        <v>4591</v>
      </c>
    </row>
    <row r="43" spans="1:10">
      <c r="A43" t="s">
        <v>4610</v>
      </c>
      <c r="B43" t="s">
        <v>2084</v>
      </c>
      <c r="C43">
        <v>4</v>
      </c>
      <c r="E43">
        <v>28797.24</v>
      </c>
      <c r="G43">
        <v>0.1</v>
      </c>
      <c r="H43">
        <v>1.61</v>
      </c>
      <c r="I43">
        <v>77</v>
      </c>
      <c r="J43" t="s">
        <v>4591</v>
      </c>
    </row>
    <row r="44" spans="1:10">
      <c r="A44" t="s">
        <v>4610</v>
      </c>
      <c r="B44" t="s">
        <v>2084</v>
      </c>
      <c r="C44">
        <v>5</v>
      </c>
      <c r="E44">
        <v>29773.34</v>
      </c>
      <c r="G44">
        <v>0.1</v>
      </c>
      <c r="H44">
        <v>1.55</v>
      </c>
      <c r="I44">
        <v>69</v>
      </c>
      <c r="J44" t="s">
        <v>4591</v>
      </c>
    </row>
    <row r="45" spans="1:10">
      <c r="A45" t="s">
        <v>4617</v>
      </c>
      <c r="B45" t="s">
        <v>4388</v>
      </c>
      <c r="C45">
        <v>4</v>
      </c>
      <c r="E45">
        <v>22476.68</v>
      </c>
      <c r="G45">
        <v>0.1</v>
      </c>
      <c r="H45">
        <v>1.48</v>
      </c>
      <c r="I45">
        <v>61</v>
      </c>
      <c r="J45" t="s">
        <v>4591</v>
      </c>
    </row>
    <row r="46" spans="1:10">
      <c r="A46" t="s">
        <v>4617</v>
      </c>
      <c r="B46" t="s">
        <v>4388</v>
      </c>
      <c r="C46">
        <v>0</v>
      </c>
      <c r="E46">
        <v>22773.78</v>
      </c>
      <c r="G46">
        <v>0.1</v>
      </c>
      <c r="I46">
        <v>85</v>
      </c>
      <c r="J46" t="s">
        <v>4591</v>
      </c>
    </row>
    <row r="47" spans="1:10">
      <c r="A47" t="s">
        <v>4617</v>
      </c>
      <c r="B47" t="s">
        <v>4388</v>
      </c>
      <c r="C47">
        <v>1</v>
      </c>
      <c r="E47">
        <v>23455.02</v>
      </c>
      <c r="G47">
        <v>0.1</v>
      </c>
      <c r="I47" t="s">
        <v>4618</v>
      </c>
      <c r="J47" t="s">
        <v>4591</v>
      </c>
    </row>
    <row r="48" spans="1:10">
      <c r="A48" t="s">
        <v>4617</v>
      </c>
      <c r="B48" t="s">
        <v>4388</v>
      </c>
      <c r="C48">
        <v>3</v>
      </c>
      <c r="E48">
        <v>23930.080000000002</v>
      </c>
      <c r="G48">
        <v>0.1</v>
      </c>
      <c r="H48">
        <v>1.4</v>
      </c>
      <c r="I48" t="s">
        <v>4619</v>
      </c>
      <c r="J48" t="s">
        <v>4591</v>
      </c>
    </row>
    <row r="49" spans="1:10">
      <c r="A49" t="s">
        <v>4617</v>
      </c>
      <c r="B49" t="s">
        <v>4388</v>
      </c>
      <c r="C49">
        <v>2</v>
      </c>
      <c r="E49">
        <v>23982.799999999999</v>
      </c>
      <c r="G49">
        <v>0.1</v>
      </c>
      <c r="I49" t="s">
        <v>4620</v>
      </c>
      <c r="J49" t="s">
        <v>4591</v>
      </c>
    </row>
    <row r="50" spans="1:10">
      <c r="A50" t="s">
        <v>4590</v>
      </c>
      <c r="B50" t="s">
        <v>921</v>
      </c>
      <c r="C50">
        <v>4</v>
      </c>
      <c r="E50">
        <v>22852.799999999999</v>
      </c>
      <c r="G50">
        <v>0.1</v>
      </c>
      <c r="H50">
        <v>1.2</v>
      </c>
      <c r="I50" t="s">
        <v>4621</v>
      </c>
      <c r="J50" t="s">
        <v>4591</v>
      </c>
    </row>
    <row r="51" spans="1:10">
      <c r="A51" t="s">
        <v>4590</v>
      </c>
      <c r="B51" t="s">
        <v>4622</v>
      </c>
      <c r="C51">
        <v>6</v>
      </c>
      <c r="E51">
        <v>23484.78</v>
      </c>
      <c r="G51">
        <v>0.1</v>
      </c>
      <c r="I51">
        <v>78</v>
      </c>
      <c r="J51" t="s">
        <v>4591</v>
      </c>
    </row>
    <row r="52" spans="1:10">
      <c r="A52" t="s">
        <v>4590</v>
      </c>
      <c r="B52" t="s">
        <v>385</v>
      </c>
      <c r="C52">
        <v>3</v>
      </c>
      <c r="E52">
        <v>24610.880000000001</v>
      </c>
      <c r="G52">
        <v>0.1</v>
      </c>
      <c r="I52" t="s">
        <v>4623</v>
      </c>
      <c r="J52" t="s">
        <v>4591</v>
      </c>
    </row>
    <row r="53" spans="1:10">
      <c r="A53" t="s">
        <v>4590</v>
      </c>
      <c r="B53" t="s">
        <v>4624</v>
      </c>
      <c r="C53">
        <v>2</v>
      </c>
      <c r="E53">
        <v>24789.66</v>
      </c>
      <c r="G53">
        <v>0.1</v>
      </c>
      <c r="I53" t="s">
        <v>4625</v>
      </c>
      <c r="J53" t="s">
        <v>4591</v>
      </c>
    </row>
    <row r="54" spans="1:10">
      <c r="A54" t="s">
        <v>4610</v>
      </c>
      <c r="B54" t="s">
        <v>276</v>
      </c>
      <c r="C54">
        <v>1</v>
      </c>
      <c r="E54">
        <v>25983.599999999999</v>
      </c>
      <c r="G54">
        <v>0.1</v>
      </c>
      <c r="H54">
        <v>0.54</v>
      </c>
      <c r="I54" t="s">
        <v>4626</v>
      </c>
      <c r="J54" t="s">
        <v>4591</v>
      </c>
    </row>
    <row r="55" spans="1:10">
      <c r="A55" t="s">
        <v>4610</v>
      </c>
      <c r="B55" t="s">
        <v>276</v>
      </c>
      <c r="C55">
        <v>2</v>
      </c>
      <c r="E55">
        <v>27662.52</v>
      </c>
      <c r="G55">
        <v>0.1</v>
      </c>
      <c r="H55">
        <v>1.21</v>
      </c>
      <c r="I55" t="s">
        <v>4626</v>
      </c>
      <c r="J55" t="s">
        <v>4591</v>
      </c>
    </row>
    <row r="56" spans="1:10">
      <c r="A56" t="s">
        <v>4610</v>
      </c>
      <c r="B56" t="s">
        <v>276</v>
      </c>
      <c r="C56">
        <v>3</v>
      </c>
      <c r="E56">
        <v>29139.119999999999</v>
      </c>
      <c r="G56">
        <v>0.1</v>
      </c>
      <c r="H56">
        <v>1.06</v>
      </c>
      <c r="I56" t="s">
        <v>4626</v>
      </c>
      <c r="J56" t="s">
        <v>4591</v>
      </c>
    </row>
    <row r="57" spans="1:10">
      <c r="A57" t="s">
        <v>4610</v>
      </c>
      <c r="B57" t="s">
        <v>276</v>
      </c>
      <c r="C57">
        <v>4</v>
      </c>
      <c r="E57">
        <v>31432.91</v>
      </c>
      <c r="G57">
        <v>0.1</v>
      </c>
      <c r="H57">
        <v>1.32</v>
      </c>
      <c r="I57" t="s">
        <v>4626</v>
      </c>
      <c r="J57" t="s">
        <v>4591</v>
      </c>
    </row>
    <row r="58" spans="1:10">
      <c r="A58" t="s">
        <v>4610</v>
      </c>
      <c r="B58" t="s">
        <v>276</v>
      </c>
      <c r="C58">
        <v>5</v>
      </c>
      <c r="E58">
        <v>33370.04</v>
      </c>
      <c r="G58">
        <v>0.1</v>
      </c>
      <c r="H58">
        <v>1.39</v>
      </c>
      <c r="I58" t="s">
        <v>4626</v>
      </c>
      <c r="J58" t="s">
        <v>4591</v>
      </c>
    </row>
    <row r="59" spans="1:10">
      <c r="A59" t="s">
        <v>4627</v>
      </c>
      <c r="B59" t="s">
        <v>1918</v>
      </c>
      <c r="C59">
        <v>2</v>
      </c>
      <c r="E59">
        <v>26229.77</v>
      </c>
      <c r="G59">
        <v>0.1</v>
      </c>
      <c r="H59">
        <v>1.84</v>
      </c>
      <c r="I59" t="s">
        <v>4626</v>
      </c>
      <c r="J59" t="s">
        <v>4591</v>
      </c>
    </row>
    <row r="60" spans="1:10">
      <c r="A60" t="s">
        <v>4627</v>
      </c>
      <c r="B60" t="s">
        <v>1918</v>
      </c>
      <c r="C60">
        <v>3</v>
      </c>
      <c r="E60">
        <v>27488.11</v>
      </c>
      <c r="G60">
        <v>0.1</v>
      </c>
      <c r="H60">
        <v>1.72</v>
      </c>
      <c r="I60" t="s">
        <v>4626</v>
      </c>
      <c r="J60" t="s">
        <v>4591</v>
      </c>
    </row>
    <row r="61" spans="1:10">
      <c r="A61" t="s">
        <v>4627</v>
      </c>
      <c r="B61" t="s">
        <v>1918</v>
      </c>
      <c r="C61">
        <v>4</v>
      </c>
      <c r="E61">
        <v>27889.68</v>
      </c>
      <c r="G61">
        <v>0.1</v>
      </c>
      <c r="H61">
        <v>1.71</v>
      </c>
      <c r="I61">
        <v>67</v>
      </c>
      <c r="J61" t="s">
        <v>4591</v>
      </c>
    </row>
    <row r="62" spans="1:10">
      <c r="B62" t="s">
        <v>291</v>
      </c>
      <c r="C62">
        <v>2</v>
      </c>
      <c r="E62">
        <v>26367.279999999999</v>
      </c>
      <c r="G62">
        <v>0.1</v>
      </c>
      <c r="H62">
        <v>0.87</v>
      </c>
      <c r="I62" t="s">
        <v>4626</v>
      </c>
      <c r="J62" t="s">
        <v>4591</v>
      </c>
    </row>
    <row r="63" spans="1:10">
      <c r="A63" t="s">
        <v>4610</v>
      </c>
      <c r="B63" t="s">
        <v>271</v>
      </c>
      <c r="C63">
        <v>0</v>
      </c>
      <c r="E63">
        <v>26629.46</v>
      </c>
      <c r="G63">
        <v>0.1</v>
      </c>
      <c r="I63" t="s">
        <v>4626</v>
      </c>
      <c r="J63" t="s">
        <v>4591</v>
      </c>
    </row>
    <row r="64" spans="1:10">
      <c r="A64" t="s">
        <v>4610</v>
      </c>
      <c r="B64" t="s">
        <v>271</v>
      </c>
      <c r="C64">
        <v>1</v>
      </c>
      <c r="E64">
        <v>27778.5</v>
      </c>
      <c r="G64">
        <v>0.1</v>
      </c>
      <c r="H64">
        <v>1.25</v>
      </c>
      <c r="I64" t="s">
        <v>4626</v>
      </c>
      <c r="J64" t="s">
        <v>4591</v>
      </c>
    </row>
    <row r="65" spans="1:10">
      <c r="A65" t="s">
        <v>4610</v>
      </c>
      <c r="B65" t="s">
        <v>271</v>
      </c>
      <c r="C65">
        <v>2</v>
      </c>
      <c r="E65">
        <v>29195.84</v>
      </c>
      <c r="G65">
        <v>0.1</v>
      </c>
      <c r="H65">
        <v>1.28</v>
      </c>
      <c r="I65" t="s">
        <v>4626</v>
      </c>
      <c r="J65" t="s">
        <v>4591</v>
      </c>
    </row>
    <row r="66" spans="1:10">
      <c r="A66" t="s">
        <v>4610</v>
      </c>
      <c r="B66" t="s">
        <v>271</v>
      </c>
      <c r="C66">
        <v>3</v>
      </c>
      <c r="E66">
        <v>29912.85</v>
      </c>
      <c r="G66">
        <v>0.1</v>
      </c>
      <c r="H66">
        <v>1.31</v>
      </c>
      <c r="I66" t="s">
        <v>4626</v>
      </c>
      <c r="J66" t="s">
        <v>4591</v>
      </c>
    </row>
    <row r="67" spans="1:10">
      <c r="A67" t="s">
        <v>4610</v>
      </c>
      <c r="B67" t="s">
        <v>271</v>
      </c>
      <c r="C67">
        <v>4</v>
      </c>
      <c r="E67">
        <v>32828.120000000003</v>
      </c>
      <c r="G67">
        <v>0.1</v>
      </c>
      <c r="H67">
        <v>1.7</v>
      </c>
      <c r="I67" t="s">
        <v>4626</v>
      </c>
      <c r="J67" t="s">
        <v>4591</v>
      </c>
    </row>
    <row r="68" spans="1:10">
      <c r="A68" t="s">
        <v>4628</v>
      </c>
      <c r="B68" t="s">
        <v>254</v>
      </c>
      <c r="C68">
        <v>2</v>
      </c>
      <c r="E68">
        <v>26861.64</v>
      </c>
      <c r="G68">
        <v>0.1</v>
      </c>
      <c r="I68" t="s">
        <v>4629</v>
      </c>
      <c r="J68" t="s">
        <v>4591</v>
      </c>
    </row>
    <row r="69" spans="1:10">
      <c r="A69" t="s">
        <v>4628</v>
      </c>
      <c r="B69" t="s">
        <v>254</v>
      </c>
      <c r="C69">
        <v>4</v>
      </c>
      <c r="E69">
        <v>27213.82</v>
      </c>
      <c r="G69">
        <v>0.1</v>
      </c>
      <c r="I69" t="s">
        <v>4630</v>
      </c>
      <c r="J69" t="s">
        <v>4591</v>
      </c>
    </row>
    <row r="70" spans="1:10">
      <c r="A70" t="s">
        <v>4628</v>
      </c>
      <c r="B70" t="s">
        <v>254</v>
      </c>
      <c r="C70">
        <v>3</v>
      </c>
      <c r="E70">
        <v>28291.88</v>
      </c>
      <c r="G70">
        <v>0.1</v>
      </c>
      <c r="I70" t="s">
        <v>4631</v>
      </c>
      <c r="J70" t="s">
        <v>4591</v>
      </c>
    </row>
    <row r="71" spans="1:10">
      <c r="A71" t="s">
        <v>4632</v>
      </c>
      <c r="B71" t="s">
        <v>346</v>
      </c>
      <c r="C71">
        <v>1</v>
      </c>
      <c r="E71">
        <v>27670.48</v>
      </c>
      <c r="G71">
        <v>0.1</v>
      </c>
      <c r="I71">
        <v>74</v>
      </c>
      <c r="J71" t="s">
        <v>4591</v>
      </c>
    </row>
    <row r="72" spans="1:10">
      <c r="A72" t="s">
        <v>4632</v>
      </c>
      <c r="B72" t="s">
        <v>346</v>
      </c>
      <c r="C72">
        <v>2</v>
      </c>
      <c r="E72">
        <v>28204.2</v>
      </c>
      <c r="G72">
        <v>0.1</v>
      </c>
      <c r="I72">
        <v>62</v>
      </c>
      <c r="J72" t="s">
        <v>4591</v>
      </c>
    </row>
    <row r="73" spans="1:10">
      <c r="A73" t="s">
        <v>4632</v>
      </c>
      <c r="B73" t="s">
        <v>346</v>
      </c>
      <c r="C73">
        <v>5</v>
      </c>
      <c r="E73">
        <v>28233.439999999999</v>
      </c>
      <c r="G73">
        <v>0.1</v>
      </c>
      <c r="I73">
        <v>75</v>
      </c>
      <c r="J73" t="s">
        <v>4591</v>
      </c>
    </row>
    <row r="74" spans="1:10">
      <c r="A74" t="s">
        <v>4632</v>
      </c>
      <c r="B74" t="s">
        <v>346</v>
      </c>
      <c r="C74">
        <v>3</v>
      </c>
      <c r="E74">
        <v>28347.599999999999</v>
      </c>
      <c r="G74">
        <v>0.1</v>
      </c>
      <c r="I74" t="s">
        <v>4633</v>
      </c>
      <c r="J74" t="s">
        <v>4591</v>
      </c>
    </row>
    <row r="75" spans="1:10">
      <c r="A75" t="s">
        <v>4632</v>
      </c>
      <c r="B75" t="s">
        <v>346</v>
      </c>
      <c r="C75">
        <v>4</v>
      </c>
      <c r="E75">
        <v>29853.66</v>
      </c>
      <c r="G75">
        <v>0.1</v>
      </c>
      <c r="I75" t="s">
        <v>4634</v>
      </c>
      <c r="J75" t="s">
        <v>4591</v>
      </c>
    </row>
    <row r="76" spans="1:10">
      <c r="A76" t="s">
        <v>4635</v>
      </c>
      <c r="B76" t="s">
        <v>4636</v>
      </c>
      <c r="C76">
        <v>5</v>
      </c>
      <c r="E76">
        <v>27849.8</v>
      </c>
      <c r="G76">
        <v>0.1</v>
      </c>
      <c r="I76">
        <v>66</v>
      </c>
      <c r="J76" t="s">
        <v>4591</v>
      </c>
    </row>
    <row r="77" spans="1:10">
      <c r="A77" t="s">
        <v>4635</v>
      </c>
      <c r="B77" t="s">
        <v>4636</v>
      </c>
      <c r="C77">
        <v>6</v>
      </c>
      <c r="E77">
        <v>28392.7</v>
      </c>
      <c r="G77">
        <v>0.1</v>
      </c>
      <c r="I77">
        <v>80</v>
      </c>
      <c r="J77" t="s">
        <v>4591</v>
      </c>
    </row>
    <row r="78" spans="1:10">
      <c r="A78" t="s">
        <v>4635</v>
      </c>
      <c r="B78" t="s">
        <v>4636</v>
      </c>
      <c r="C78">
        <v>7</v>
      </c>
      <c r="E78">
        <v>29460.98</v>
      </c>
      <c r="G78">
        <v>0.1</v>
      </c>
      <c r="I78">
        <v>98</v>
      </c>
      <c r="J78" t="s">
        <v>4591</v>
      </c>
    </row>
    <row r="79" spans="1:10">
      <c r="A79" t="s">
        <v>4610</v>
      </c>
      <c r="B79" t="s">
        <v>312</v>
      </c>
      <c r="C79">
        <v>1</v>
      </c>
      <c r="E79">
        <v>28198.9</v>
      </c>
      <c r="G79">
        <v>0.1</v>
      </c>
      <c r="I79" t="s">
        <v>4626</v>
      </c>
      <c r="J79" t="s">
        <v>4591</v>
      </c>
    </row>
    <row r="80" spans="1:10">
      <c r="A80" t="s">
        <v>4610</v>
      </c>
      <c r="B80" t="s">
        <v>312</v>
      </c>
      <c r="C80">
        <v>2</v>
      </c>
      <c r="E80">
        <v>29393.4</v>
      </c>
      <c r="G80">
        <v>0.1</v>
      </c>
      <c r="H80">
        <v>1.83</v>
      </c>
      <c r="I80" t="s">
        <v>4626</v>
      </c>
      <c r="J80" t="s">
        <v>4591</v>
      </c>
    </row>
    <row r="81" spans="1:10">
      <c r="A81" t="s">
        <v>4610</v>
      </c>
      <c r="B81" t="s">
        <v>312</v>
      </c>
      <c r="C81">
        <v>3</v>
      </c>
      <c r="E81">
        <v>30586.639999999999</v>
      </c>
      <c r="G81">
        <v>0.1</v>
      </c>
      <c r="H81">
        <v>1.64</v>
      </c>
      <c r="I81" t="s">
        <v>4626</v>
      </c>
      <c r="J81" t="s">
        <v>4591</v>
      </c>
    </row>
    <row r="82" spans="1:10">
      <c r="A82" t="s">
        <v>4611</v>
      </c>
      <c r="B82" t="s">
        <v>266</v>
      </c>
      <c r="C82">
        <v>1</v>
      </c>
      <c r="E82">
        <v>28720.880000000001</v>
      </c>
      <c r="G82">
        <v>0.1</v>
      </c>
      <c r="I82" t="s">
        <v>4637</v>
      </c>
      <c r="J82" t="s">
        <v>4591</v>
      </c>
    </row>
    <row r="83" spans="1:10">
      <c r="A83" t="s">
        <v>4590</v>
      </c>
      <c r="B83" t="s">
        <v>987</v>
      </c>
      <c r="C83">
        <v>2</v>
      </c>
      <c r="E83">
        <v>28898.959999999999</v>
      </c>
      <c r="G83">
        <v>0.1</v>
      </c>
      <c r="I83" t="s">
        <v>4638</v>
      </c>
      <c r="J83" t="s">
        <v>4591</v>
      </c>
    </row>
    <row r="84" spans="1:10">
      <c r="C84">
        <v>3</v>
      </c>
      <c r="E84">
        <v>29430.5</v>
      </c>
      <c r="G84">
        <v>0.1</v>
      </c>
      <c r="I84" t="s">
        <v>4639</v>
      </c>
      <c r="J84" t="s">
        <v>4591</v>
      </c>
    </row>
    <row r="85" spans="1:10">
      <c r="A85" t="s">
        <v>4590</v>
      </c>
      <c r="B85" t="s">
        <v>976</v>
      </c>
      <c r="C85">
        <v>4</v>
      </c>
      <c r="E85">
        <v>29479.32</v>
      </c>
      <c r="G85">
        <v>0.1</v>
      </c>
      <c r="I85" t="s">
        <v>4640</v>
      </c>
      <c r="J85" t="s">
        <v>4591</v>
      </c>
    </row>
    <row r="86" spans="1:10">
      <c r="A86" t="s">
        <v>4590</v>
      </c>
      <c r="B86" t="s">
        <v>976</v>
      </c>
      <c r="C86">
        <v>2</v>
      </c>
      <c r="E86">
        <v>30374.2</v>
      </c>
      <c r="G86">
        <v>0.1</v>
      </c>
      <c r="I86" t="s">
        <v>4641</v>
      </c>
      <c r="J86" t="s">
        <v>4591</v>
      </c>
    </row>
    <row r="87" spans="1:10">
      <c r="B87" t="s">
        <v>291</v>
      </c>
      <c r="C87">
        <v>1</v>
      </c>
      <c r="E87">
        <v>30683.54</v>
      </c>
      <c r="G87">
        <v>0.1</v>
      </c>
      <c r="H87">
        <v>1.39</v>
      </c>
      <c r="I87" t="s">
        <v>4626</v>
      </c>
      <c r="J87" t="s">
        <v>4591</v>
      </c>
    </row>
    <row r="88" spans="1:10">
      <c r="C88">
        <v>2</v>
      </c>
      <c r="E88">
        <v>31077.8</v>
      </c>
      <c r="G88">
        <v>0.1</v>
      </c>
      <c r="I88" t="s">
        <v>4642</v>
      </c>
      <c r="J88" t="s">
        <v>4591</v>
      </c>
    </row>
    <row r="89" spans="1:10">
      <c r="B89" t="s">
        <v>291</v>
      </c>
      <c r="C89">
        <v>1</v>
      </c>
      <c r="E89">
        <v>31323.48</v>
      </c>
      <c r="G89">
        <v>0.1</v>
      </c>
      <c r="H89">
        <v>0.86</v>
      </c>
      <c r="I89" t="s">
        <v>4626</v>
      </c>
      <c r="J89" t="s">
        <v>4591</v>
      </c>
    </row>
    <row r="90" spans="1:10">
      <c r="A90" t="s">
        <v>4606</v>
      </c>
      <c r="B90" t="s">
        <v>511</v>
      </c>
      <c r="C90">
        <v>5</v>
      </c>
      <c r="E90">
        <v>31389.08</v>
      </c>
      <c r="G90">
        <v>0.1</v>
      </c>
      <c r="I90" t="s">
        <v>4643</v>
      </c>
      <c r="J90" t="s">
        <v>4591</v>
      </c>
    </row>
    <row r="91" spans="1:10">
      <c r="A91" t="s">
        <v>4606</v>
      </c>
      <c r="B91" t="s">
        <v>511</v>
      </c>
      <c r="C91">
        <v>4</v>
      </c>
      <c r="E91">
        <v>32135.94</v>
      </c>
      <c r="G91">
        <v>0.1</v>
      </c>
      <c r="I91" t="s">
        <v>4644</v>
      </c>
      <c r="J91" t="s">
        <v>4591</v>
      </c>
    </row>
    <row r="92" spans="1:10">
      <c r="B92" t="s">
        <v>291</v>
      </c>
      <c r="C92">
        <v>2</v>
      </c>
      <c r="E92">
        <v>31817.63</v>
      </c>
      <c r="G92">
        <v>0.1</v>
      </c>
      <c r="H92">
        <v>1.52</v>
      </c>
      <c r="I92" t="s">
        <v>4626</v>
      </c>
      <c r="J92" t="s">
        <v>4591</v>
      </c>
    </row>
    <row r="93" spans="1:10">
      <c r="C93">
        <v>3</v>
      </c>
      <c r="E93">
        <v>32217.91</v>
      </c>
      <c r="G93">
        <v>0.1</v>
      </c>
      <c r="I93" t="s">
        <v>4645</v>
      </c>
      <c r="J93" t="s">
        <v>4591</v>
      </c>
    </row>
    <row r="94" spans="1:10">
      <c r="B94" t="s">
        <v>291</v>
      </c>
      <c r="C94">
        <v>3</v>
      </c>
      <c r="E94">
        <v>32238.02</v>
      </c>
      <c r="G94">
        <v>0.1</v>
      </c>
      <c r="H94">
        <v>1.3</v>
      </c>
      <c r="I94" t="s">
        <v>4626</v>
      </c>
      <c r="J94" t="s">
        <v>4591</v>
      </c>
    </row>
    <row r="95" spans="1:10">
      <c r="A95" t="s">
        <v>4646</v>
      </c>
      <c r="B95" t="s">
        <v>257</v>
      </c>
      <c r="C95">
        <v>1</v>
      </c>
      <c r="E95">
        <v>32378.400000000001</v>
      </c>
      <c r="G95">
        <v>0.1</v>
      </c>
      <c r="I95" t="s">
        <v>4647</v>
      </c>
      <c r="J95" t="s">
        <v>4591</v>
      </c>
    </row>
    <row r="96" spans="1:10">
      <c r="B96" t="s">
        <v>291</v>
      </c>
      <c r="C96">
        <v>0</v>
      </c>
      <c r="E96">
        <v>32386.560000000001</v>
      </c>
      <c r="G96">
        <v>0.1</v>
      </c>
      <c r="I96" t="s">
        <v>4626</v>
      </c>
      <c r="J96" t="s">
        <v>4591</v>
      </c>
    </row>
    <row r="97" spans="1:10">
      <c r="C97">
        <v>3</v>
      </c>
      <c r="E97">
        <v>32826.629999999997</v>
      </c>
      <c r="G97">
        <v>0.1</v>
      </c>
      <c r="I97" t="s">
        <v>4648</v>
      </c>
      <c r="J97" t="s">
        <v>4591</v>
      </c>
    </row>
    <row r="98" spans="1:10">
      <c r="B98" t="s">
        <v>291</v>
      </c>
      <c r="C98">
        <v>3</v>
      </c>
      <c r="E98">
        <v>32957.58</v>
      </c>
      <c r="G98">
        <v>0.1</v>
      </c>
      <c r="H98">
        <v>1.43</v>
      </c>
      <c r="I98" t="s">
        <v>4626</v>
      </c>
      <c r="J98" t="s">
        <v>4591</v>
      </c>
    </row>
    <row r="99" spans="1:10">
      <c r="B99" t="s">
        <v>291</v>
      </c>
      <c r="C99">
        <v>2</v>
      </c>
      <c r="E99">
        <v>33141.379999999997</v>
      </c>
      <c r="G99">
        <v>0.1</v>
      </c>
      <c r="H99">
        <v>1.51</v>
      </c>
      <c r="I99" t="s">
        <v>4626</v>
      </c>
      <c r="J99" t="s">
        <v>4591</v>
      </c>
    </row>
    <row r="100" spans="1:10">
      <c r="A100" t="s">
        <v>4649</v>
      </c>
      <c r="B100" t="s">
        <v>511</v>
      </c>
      <c r="C100">
        <v>5</v>
      </c>
      <c r="E100">
        <v>33201.61</v>
      </c>
      <c r="G100">
        <v>0.1</v>
      </c>
      <c r="I100" t="s">
        <v>4650</v>
      </c>
      <c r="J100" t="s">
        <v>4591</v>
      </c>
    </row>
    <row r="101" spans="1:10">
      <c r="A101" t="s">
        <v>4649</v>
      </c>
      <c r="B101" t="s">
        <v>511</v>
      </c>
      <c r="C101">
        <v>4</v>
      </c>
      <c r="E101">
        <v>34302.04</v>
      </c>
      <c r="G101">
        <v>0.1</v>
      </c>
      <c r="I101" t="s">
        <v>4651</v>
      </c>
      <c r="J101" t="s">
        <v>4591</v>
      </c>
    </row>
    <row r="102" spans="1:10">
      <c r="A102" t="s">
        <v>4635</v>
      </c>
      <c r="B102" t="s">
        <v>4622</v>
      </c>
      <c r="C102">
        <v>6</v>
      </c>
      <c r="E102">
        <v>33291.800000000003</v>
      </c>
      <c r="G102">
        <v>0.1</v>
      </c>
      <c r="I102" t="s">
        <v>4652</v>
      </c>
      <c r="J102" t="s">
        <v>4591</v>
      </c>
    </row>
    <row r="103" spans="1:10">
      <c r="C103">
        <v>4</v>
      </c>
      <c r="E103">
        <v>33569.53</v>
      </c>
      <c r="G103">
        <v>0.1</v>
      </c>
      <c r="I103" t="s">
        <v>4653</v>
      </c>
      <c r="J103" t="s">
        <v>4591</v>
      </c>
    </row>
    <row r="104" spans="1:10">
      <c r="B104" t="s">
        <v>291</v>
      </c>
      <c r="C104">
        <v>2</v>
      </c>
      <c r="E104">
        <v>33944.06</v>
      </c>
      <c r="G104">
        <v>0.1</v>
      </c>
      <c r="I104" t="s">
        <v>4626</v>
      </c>
      <c r="J104" t="s">
        <v>4591</v>
      </c>
    </row>
    <row r="105" spans="1:10">
      <c r="A105" t="s">
        <v>4617</v>
      </c>
      <c r="B105" t="s">
        <v>257</v>
      </c>
      <c r="C105">
        <v>3</v>
      </c>
      <c r="E105">
        <v>33952.85</v>
      </c>
      <c r="G105">
        <v>0.1</v>
      </c>
      <c r="I105" t="s">
        <v>4654</v>
      </c>
      <c r="J105" t="s">
        <v>4591</v>
      </c>
    </row>
    <row r="106" spans="1:10">
      <c r="B106" t="s">
        <v>291</v>
      </c>
      <c r="C106">
        <v>4</v>
      </c>
      <c r="E106">
        <v>34121.68</v>
      </c>
      <c r="G106">
        <v>0.1</v>
      </c>
      <c r="H106">
        <v>1.5</v>
      </c>
      <c r="I106" t="s">
        <v>4626</v>
      </c>
      <c r="J106" t="s">
        <v>4591</v>
      </c>
    </row>
    <row r="107" spans="1:10">
      <c r="B107" t="s">
        <v>291</v>
      </c>
      <c r="C107">
        <v>3</v>
      </c>
      <c r="E107">
        <v>34228.6</v>
      </c>
      <c r="G107">
        <v>0.1</v>
      </c>
      <c r="I107" t="s">
        <v>4626</v>
      </c>
      <c r="J107" t="s">
        <v>4591</v>
      </c>
    </row>
    <row r="108" spans="1:10">
      <c r="B108" t="s">
        <v>291</v>
      </c>
      <c r="C108">
        <v>1</v>
      </c>
      <c r="E108">
        <v>34342.44</v>
      </c>
      <c r="G108">
        <v>0.1</v>
      </c>
      <c r="H108">
        <v>1.56</v>
      </c>
      <c r="I108" t="s">
        <v>4626</v>
      </c>
      <c r="J108" t="s">
        <v>4591</v>
      </c>
    </row>
    <row r="109" spans="1:10">
      <c r="B109" t="s">
        <v>291</v>
      </c>
      <c r="C109">
        <v>3</v>
      </c>
      <c r="E109">
        <v>34354.080000000002</v>
      </c>
      <c r="G109">
        <v>0.1</v>
      </c>
      <c r="H109">
        <v>0.71</v>
      </c>
      <c r="I109" t="s">
        <v>4626</v>
      </c>
      <c r="J109" t="s">
        <v>4591</v>
      </c>
    </row>
    <row r="110" spans="1:10">
      <c r="C110">
        <v>3</v>
      </c>
      <c r="E110">
        <v>34465.83</v>
      </c>
      <c r="G110">
        <v>0.1</v>
      </c>
      <c r="I110" t="s">
        <v>4655</v>
      </c>
      <c r="J110" t="s">
        <v>4591</v>
      </c>
    </row>
    <row r="111" spans="1:10">
      <c r="B111" t="s">
        <v>291</v>
      </c>
      <c r="C111">
        <v>2</v>
      </c>
      <c r="E111">
        <v>34485.86</v>
      </c>
      <c r="G111">
        <v>0.1</v>
      </c>
      <c r="H111">
        <v>0.82</v>
      </c>
      <c r="I111" t="s">
        <v>4626</v>
      </c>
      <c r="J111" t="s">
        <v>4591</v>
      </c>
    </row>
    <row r="112" spans="1:10">
      <c r="B112" t="s">
        <v>291</v>
      </c>
      <c r="C112">
        <v>4</v>
      </c>
      <c r="E112">
        <v>34632.6</v>
      </c>
      <c r="G112">
        <v>0.1</v>
      </c>
      <c r="H112">
        <v>0.89</v>
      </c>
      <c r="I112" t="s">
        <v>4626</v>
      </c>
      <c r="J112" t="s">
        <v>4591</v>
      </c>
    </row>
    <row r="113" spans="2:10">
      <c r="B113" t="s">
        <v>291</v>
      </c>
      <c r="C113">
        <v>1</v>
      </c>
      <c r="E113">
        <v>34719.33</v>
      </c>
      <c r="G113">
        <v>0.1</v>
      </c>
      <c r="H113">
        <v>0.15</v>
      </c>
      <c r="I113" t="s">
        <v>4626</v>
      </c>
      <c r="J113" t="s">
        <v>4591</v>
      </c>
    </row>
    <row r="114" spans="2:10">
      <c r="B114" t="s">
        <v>291</v>
      </c>
      <c r="C114">
        <v>4</v>
      </c>
      <c r="E114">
        <v>35116.78</v>
      </c>
      <c r="G114">
        <v>0.1</v>
      </c>
      <c r="H114">
        <v>1.2</v>
      </c>
      <c r="I114" t="s">
        <v>4626</v>
      </c>
      <c r="J114" t="s">
        <v>4591</v>
      </c>
    </row>
    <row r="115" spans="2:10">
      <c r="C115">
        <v>4</v>
      </c>
      <c r="E115">
        <v>35299.82</v>
      </c>
      <c r="G115">
        <v>0.1</v>
      </c>
      <c r="I115" t="s">
        <v>4656</v>
      </c>
      <c r="J115" t="s">
        <v>4591</v>
      </c>
    </row>
    <row r="116" spans="2:10">
      <c r="B116" t="s">
        <v>291</v>
      </c>
      <c r="C116">
        <v>2</v>
      </c>
      <c r="E116">
        <v>35311.56</v>
      </c>
      <c r="G116">
        <v>0.1</v>
      </c>
      <c r="H116">
        <v>1</v>
      </c>
      <c r="I116" t="s">
        <v>4626</v>
      </c>
      <c r="J116" t="s">
        <v>4591</v>
      </c>
    </row>
    <row r="117" spans="2:10">
      <c r="B117" t="s">
        <v>291</v>
      </c>
      <c r="C117">
        <v>3</v>
      </c>
      <c r="E117">
        <v>35499.15</v>
      </c>
      <c r="G117">
        <v>0.1</v>
      </c>
      <c r="H117">
        <v>1</v>
      </c>
      <c r="I117" t="s">
        <v>4626</v>
      </c>
      <c r="J117" t="s">
        <v>4591</v>
      </c>
    </row>
    <row r="118" spans="2:10">
      <c r="B118" t="s">
        <v>291</v>
      </c>
      <c r="C118">
        <v>5</v>
      </c>
      <c r="E118">
        <v>35507.07</v>
      </c>
      <c r="G118">
        <v>0.1</v>
      </c>
      <c r="I118" t="s">
        <v>4626</v>
      </c>
      <c r="J118" t="s">
        <v>4591</v>
      </c>
    </row>
    <row r="119" spans="2:10">
      <c r="B119" t="s">
        <v>291</v>
      </c>
      <c r="C119">
        <v>2</v>
      </c>
      <c r="E119">
        <v>35731.96</v>
      </c>
      <c r="G119">
        <v>0.1</v>
      </c>
      <c r="H119">
        <v>1.5</v>
      </c>
      <c r="I119" t="s">
        <v>4626</v>
      </c>
      <c r="J119" t="s">
        <v>4591</v>
      </c>
    </row>
    <row r="120" spans="2:10">
      <c r="B120" t="s">
        <v>291</v>
      </c>
      <c r="C120">
        <v>3</v>
      </c>
      <c r="E120">
        <v>35943.17</v>
      </c>
      <c r="G120">
        <v>0.1</v>
      </c>
      <c r="H120">
        <v>1.4</v>
      </c>
      <c r="I120" t="s">
        <v>4626</v>
      </c>
      <c r="J120" t="s">
        <v>4591</v>
      </c>
    </row>
    <row r="121" spans="2:10">
      <c r="B121" t="s">
        <v>291</v>
      </c>
      <c r="C121">
        <v>4</v>
      </c>
      <c r="E121">
        <v>36082.300000000003</v>
      </c>
      <c r="G121">
        <v>0.1</v>
      </c>
      <c r="H121">
        <v>1.24</v>
      </c>
      <c r="I121" t="s">
        <v>4626</v>
      </c>
      <c r="J121" t="s">
        <v>4591</v>
      </c>
    </row>
    <row r="122" spans="2:10">
      <c r="B122" t="s">
        <v>291</v>
      </c>
      <c r="C122">
        <v>1</v>
      </c>
      <c r="E122">
        <v>36190.49</v>
      </c>
      <c r="G122">
        <v>0.1</v>
      </c>
      <c r="H122">
        <v>1.62</v>
      </c>
      <c r="I122" t="s">
        <v>4626</v>
      </c>
      <c r="J122" t="s">
        <v>4591</v>
      </c>
    </row>
    <row r="123" spans="2:10">
      <c r="B123" t="s">
        <v>291</v>
      </c>
      <c r="C123">
        <v>5</v>
      </c>
      <c r="E123">
        <v>36275.1</v>
      </c>
      <c r="G123">
        <v>0.1</v>
      </c>
      <c r="H123">
        <v>1.27</v>
      </c>
      <c r="I123" t="s">
        <v>4626</v>
      </c>
      <c r="J123" t="s">
        <v>4591</v>
      </c>
    </row>
    <row r="124" spans="2:10">
      <c r="B124" t="s">
        <v>291</v>
      </c>
      <c r="C124">
        <v>0</v>
      </c>
      <c r="E124">
        <v>36588.32</v>
      </c>
      <c r="G124">
        <v>0.1</v>
      </c>
      <c r="I124" t="s">
        <v>4626</v>
      </c>
      <c r="J124" t="s">
        <v>4591</v>
      </c>
    </row>
    <row r="125" spans="2:10">
      <c r="B125" t="s">
        <v>291</v>
      </c>
      <c r="C125">
        <v>2</v>
      </c>
      <c r="E125">
        <v>36673.699999999997</v>
      </c>
      <c r="G125">
        <v>0.1</v>
      </c>
      <c r="H125">
        <v>1.5</v>
      </c>
      <c r="I125" t="s">
        <v>4626</v>
      </c>
      <c r="J125" t="s">
        <v>4591</v>
      </c>
    </row>
    <row r="126" spans="2:10">
      <c r="B126" t="s">
        <v>291</v>
      </c>
      <c r="C126">
        <v>3</v>
      </c>
      <c r="E126">
        <v>36874.36</v>
      </c>
      <c r="G126">
        <v>0.1</v>
      </c>
      <c r="H126">
        <v>1.5</v>
      </c>
      <c r="I126" t="s">
        <v>4626</v>
      </c>
      <c r="J126" t="s">
        <v>4591</v>
      </c>
    </row>
    <row r="127" spans="2:10">
      <c r="B127" t="s">
        <v>291</v>
      </c>
      <c r="C127">
        <v>2</v>
      </c>
      <c r="E127">
        <v>36904.160000000003</v>
      </c>
      <c r="G127">
        <v>0.1</v>
      </c>
      <c r="H127">
        <v>1.57</v>
      </c>
      <c r="I127" t="s">
        <v>4626</v>
      </c>
      <c r="J127" t="s">
        <v>4591</v>
      </c>
    </row>
    <row r="128" spans="2:10">
      <c r="B128" t="s">
        <v>291</v>
      </c>
      <c r="C128">
        <v>4</v>
      </c>
      <c r="E128">
        <v>37146.36</v>
      </c>
      <c r="G128">
        <v>0.1</v>
      </c>
      <c r="H128">
        <v>1.1000000000000001</v>
      </c>
      <c r="I128" t="s">
        <v>4626</v>
      </c>
      <c r="J128" t="s">
        <v>4591</v>
      </c>
    </row>
    <row r="129" spans="2:10">
      <c r="B129" t="s">
        <v>291</v>
      </c>
      <c r="C129">
        <v>5</v>
      </c>
      <c r="E129">
        <v>37309.160000000003</v>
      </c>
      <c r="G129">
        <v>0.1</v>
      </c>
      <c r="H129">
        <v>1.25</v>
      </c>
      <c r="I129" t="s">
        <v>4626</v>
      </c>
      <c r="J129" t="s">
        <v>4591</v>
      </c>
    </row>
    <row r="130" spans="2:10">
      <c r="C130">
        <v>3</v>
      </c>
      <c r="E130">
        <v>37414.11</v>
      </c>
      <c r="G130">
        <v>0.1</v>
      </c>
      <c r="I130" t="s">
        <v>4657</v>
      </c>
      <c r="J130" t="s">
        <v>4591</v>
      </c>
    </row>
    <row r="131" spans="2:10">
      <c r="B131" t="s">
        <v>291</v>
      </c>
      <c r="C131">
        <v>2</v>
      </c>
      <c r="E131">
        <v>37466.300000000003</v>
      </c>
      <c r="G131">
        <v>0.1</v>
      </c>
      <c r="H131">
        <v>1.28</v>
      </c>
      <c r="I131" t="s">
        <v>4626</v>
      </c>
      <c r="J131" t="s">
        <v>4591</v>
      </c>
    </row>
    <row r="132" spans="2:10">
      <c r="B132" t="s">
        <v>291</v>
      </c>
      <c r="C132">
        <v>3</v>
      </c>
      <c r="E132">
        <v>37674.080000000002</v>
      </c>
      <c r="G132">
        <v>0.1</v>
      </c>
      <c r="H132">
        <v>1.1299999999999999</v>
      </c>
      <c r="I132" t="s">
        <v>4626</v>
      </c>
      <c r="J132" t="s">
        <v>4591</v>
      </c>
    </row>
    <row r="133" spans="2:10">
      <c r="B133" t="s">
        <v>291</v>
      </c>
      <c r="C133">
        <v>1</v>
      </c>
      <c r="E133">
        <v>37773.96</v>
      </c>
      <c r="G133">
        <v>0.1</v>
      </c>
      <c r="I133" t="s">
        <v>4626</v>
      </c>
      <c r="J133" t="s">
        <v>4591</v>
      </c>
    </row>
    <row r="134" spans="2:10">
      <c r="B134" t="s">
        <v>291</v>
      </c>
      <c r="C134">
        <v>4</v>
      </c>
      <c r="E134">
        <v>38001.120000000003</v>
      </c>
      <c r="G134">
        <v>0.1</v>
      </c>
      <c r="H134">
        <v>1.1000000000000001</v>
      </c>
      <c r="I134" t="s">
        <v>4626</v>
      </c>
      <c r="J134" t="s">
        <v>4591</v>
      </c>
    </row>
    <row r="135" spans="2:10">
      <c r="B135" t="s">
        <v>291</v>
      </c>
      <c r="C135">
        <v>3</v>
      </c>
      <c r="E135">
        <v>38053.050000000003</v>
      </c>
      <c r="G135">
        <v>0.1</v>
      </c>
      <c r="H135">
        <v>1.1100000000000001</v>
      </c>
      <c r="I135" t="s">
        <v>4626</v>
      </c>
      <c r="J135" t="s">
        <v>4591</v>
      </c>
    </row>
    <row r="136" spans="2:10">
      <c r="B136" t="s">
        <v>291</v>
      </c>
      <c r="C136">
        <v>6</v>
      </c>
      <c r="E136">
        <v>38203.120000000003</v>
      </c>
      <c r="G136">
        <v>0.1</v>
      </c>
      <c r="I136" t="s">
        <v>4626</v>
      </c>
      <c r="J136" t="s">
        <v>4591</v>
      </c>
    </row>
    <row r="137" spans="2:10">
      <c r="B137" t="s">
        <v>291</v>
      </c>
      <c r="C137">
        <v>3</v>
      </c>
      <c r="E137">
        <v>38206.379999999997</v>
      </c>
      <c r="G137">
        <v>0.1</v>
      </c>
      <c r="I137" t="s">
        <v>4626</v>
      </c>
      <c r="J137" t="s">
        <v>4591</v>
      </c>
    </row>
    <row r="138" spans="2:10">
      <c r="B138" t="s">
        <v>291</v>
      </c>
      <c r="C138">
        <v>4</v>
      </c>
      <c r="E138">
        <v>38259.4</v>
      </c>
      <c r="G138">
        <v>0.1</v>
      </c>
      <c r="I138" t="s">
        <v>4626</v>
      </c>
      <c r="J138" t="s">
        <v>4591</v>
      </c>
    </row>
    <row r="139" spans="2:10">
      <c r="B139" t="s">
        <v>291</v>
      </c>
      <c r="C139">
        <v>1</v>
      </c>
      <c r="E139">
        <v>38355.839999999997</v>
      </c>
      <c r="G139">
        <v>0.1</v>
      </c>
      <c r="I139" t="s">
        <v>4626</v>
      </c>
      <c r="J139" t="s">
        <v>4591</v>
      </c>
    </row>
    <row r="140" spans="2:10">
      <c r="B140" t="s">
        <v>291</v>
      </c>
      <c r="C140">
        <v>0</v>
      </c>
      <c r="E140">
        <v>38576.14</v>
      </c>
      <c r="G140">
        <v>0.1</v>
      </c>
      <c r="I140" t="s">
        <v>4626</v>
      </c>
      <c r="J140" t="s">
        <v>4591</v>
      </c>
    </row>
    <row r="141" spans="2:10">
      <c r="B141" t="s">
        <v>291</v>
      </c>
      <c r="C141">
        <v>4</v>
      </c>
      <c r="E141">
        <v>38748.44</v>
      </c>
      <c r="G141">
        <v>0.1</v>
      </c>
      <c r="I141" t="s">
        <v>4626</v>
      </c>
      <c r="J141" t="s">
        <v>4591</v>
      </c>
    </row>
    <row r="142" spans="2:10">
      <c r="B142" t="s">
        <v>291</v>
      </c>
      <c r="C142">
        <v>2</v>
      </c>
      <c r="E142">
        <v>39030.25</v>
      </c>
      <c r="G142">
        <v>0.1</v>
      </c>
      <c r="I142" t="s">
        <v>4626</v>
      </c>
      <c r="J142" t="s">
        <v>4591</v>
      </c>
    </row>
    <row r="143" spans="2:10">
      <c r="B143" t="s">
        <v>291</v>
      </c>
      <c r="C143">
        <v>1</v>
      </c>
      <c r="E143">
        <v>39183.199999999997</v>
      </c>
      <c r="G143">
        <v>0.1</v>
      </c>
      <c r="H143">
        <v>1.01</v>
      </c>
      <c r="I143" t="s">
        <v>4626</v>
      </c>
      <c r="J143" t="s">
        <v>4591</v>
      </c>
    </row>
    <row r="144" spans="2:10">
      <c r="B144" t="s">
        <v>291</v>
      </c>
      <c r="C144">
        <v>5</v>
      </c>
      <c r="E144">
        <v>39361.01</v>
      </c>
      <c r="G144">
        <v>0.1</v>
      </c>
      <c r="H144">
        <v>1.1299999999999999</v>
      </c>
      <c r="I144" t="s">
        <v>4626</v>
      </c>
      <c r="J144" t="s">
        <v>4591</v>
      </c>
    </row>
    <row r="145" spans="1:10">
      <c r="B145" t="s">
        <v>291</v>
      </c>
      <c r="C145">
        <v>5</v>
      </c>
      <c r="E145">
        <v>39614.050000000003</v>
      </c>
      <c r="G145">
        <v>0.1</v>
      </c>
      <c r="H145">
        <v>1.2</v>
      </c>
      <c r="I145" t="s">
        <v>4626</v>
      </c>
      <c r="J145" t="s">
        <v>4591</v>
      </c>
    </row>
    <row r="146" spans="1:10">
      <c r="B146" t="s">
        <v>291</v>
      </c>
      <c r="C146">
        <v>1</v>
      </c>
      <c r="E146">
        <v>39636.620000000003</v>
      </c>
      <c r="G146">
        <v>0.1</v>
      </c>
      <c r="H146">
        <v>1.44</v>
      </c>
      <c r="I146" t="s">
        <v>4626</v>
      </c>
      <c r="J146" t="s">
        <v>4591</v>
      </c>
    </row>
    <row r="147" spans="1:10">
      <c r="B147" t="s">
        <v>291</v>
      </c>
      <c r="C147">
        <v>3</v>
      </c>
      <c r="E147">
        <v>39646.410000000003</v>
      </c>
      <c r="G147">
        <v>0.1</v>
      </c>
      <c r="H147">
        <v>1.46</v>
      </c>
      <c r="I147" t="s">
        <v>4626</v>
      </c>
      <c r="J147" t="s">
        <v>4591</v>
      </c>
    </row>
    <row r="148" spans="1:10">
      <c r="B148" t="s">
        <v>291</v>
      </c>
      <c r="C148">
        <v>2</v>
      </c>
      <c r="E148">
        <v>39707.019999999997</v>
      </c>
      <c r="G148">
        <v>0.1</v>
      </c>
      <c r="H148">
        <v>1</v>
      </c>
      <c r="I148" t="s">
        <v>4626</v>
      </c>
      <c r="J148" t="s">
        <v>4591</v>
      </c>
    </row>
    <row r="149" spans="1:10">
      <c r="A149" t="s">
        <v>4658</v>
      </c>
      <c r="B149" t="s">
        <v>4659</v>
      </c>
      <c r="C149">
        <v>7</v>
      </c>
      <c r="E149">
        <v>39709.040000000001</v>
      </c>
      <c r="G149">
        <v>0.1</v>
      </c>
      <c r="I149" t="s">
        <v>4626</v>
      </c>
      <c r="J149" t="s">
        <v>4591</v>
      </c>
    </row>
    <row r="150" spans="1:10">
      <c r="B150" t="s">
        <v>291</v>
      </c>
      <c r="C150">
        <v>4</v>
      </c>
      <c r="E150">
        <v>39719.96</v>
      </c>
      <c r="G150">
        <v>0.1</v>
      </c>
      <c r="H150">
        <v>1.17</v>
      </c>
      <c r="I150" t="s">
        <v>4626</v>
      </c>
      <c r="J150" t="s">
        <v>4591</v>
      </c>
    </row>
    <row r="151" spans="1:10">
      <c r="B151" t="s">
        <v>291</v>
      </c>
      <c r="C151">
        <v>2</v>
      </c>
      <c r="E151">
        <v>40011.5</v>
      </c>
      <c r="G151">
        <v>0.1</v>
      </c>
      <c r="H151">
        <v>1</v>
      </c>
      <c r="I151" t="s">
        <v>4626</v>
      </c>
      <c r="J151" t="s">
        <v>4591</v>
      </c>
    </row>
    <row r="152" spans="1:10">
      <c r="B152" t="s">
        <v>291</v>
      </c>
      <c r="C152">
        <v>4</v>
      </c>
      <c r="E152">
        <v>40233.97</v>
      </c>
      <c r="G152">
        <v>0.1</v>
      </c>
      <c r="H152">
        <v>1.53</v>
      </c>
      <c r="I152" t="s">
        <v>4626</v>
      </c>
      <c r="J152" t="s">
        <v>4591</v>
      </c>
    </row>
    <row r="153" spans="1:10">
      <c r="B153" t="s">
        <v>291</v>
      </c>
      <c r="C153">
        <v>3</v>
      </c>
      <c r="E153">
        <v>40269.35</v>
      </c>
      <c r="G153">
        <v>0.1</v>
      </c>
      <c r="H153">
        <v>1.03</v>
      </c>
      <c r="I153" t="s">
        <v>4626</v>
      </c>
      <c r="J153" t="s">
        <v>4591</v>
      </c>
    </row>
    <row r="154" spans="1:10">
      <c r="B154" t="s">
        <v>291</v>
      </c>
      <c r="C154">
        <v>1</v>
      </c>
      <c r="E154">
        <v>40411.120000000003</v>
      </c>
      <c r="G154">
        <v>0.1</v>
      </c>
      <c r="H154">
        <v>1.58</v>
      </c>
      <c r="I154" t="s">
        <v>4626</v>
      </c>
      <c r="J154" t="s">
        <v>4591</v>
      </c>
    </row>
    <row r="155" spans="1:10">
      <c r="B155" t="s">
        <v>291</v>
      </c>
      <c r="C155">
        <v>5</v>
      </c>
      <c r="E155">
        <v>40476.42</v>
      </c>
      <c r="G155">
        <v>0.1</v>
      </c>
      <c r="H155">
        <v>1.04</v>
      </c>
      <c r="I155" t="s">
        <v>4626</v>
      </c>
      <c r="J155" t="s">
        <v>4591</v>
      </c>
    </row>
    <row r="156" spans="1:10">
      <c r="B156" t="s">
        <v>291</v>
      </c>
      <c r="C156">
        <v>4</v>
      </c>
      <c r="E156">
        <v>40583.07</v>
      </c>
      <c r="G156">
        <v>0.1</v>
      </c>
      <c r="I156" t="s">
        <v>4626</v>
      </c>
      <c r="J156" t="s">
        <v>4591</v>
      </c>
    </row>
    <row r="157" spans="1:10">
      <c r="B157" t="s">
        <v>291</v>
      </c>
      <c r="C157">
        <v>3</v>
      </c>
      <c r="E157">
        <v>40665.85</v>
      </c>
      <c r="G157">
        <v>0.1</v>
      </c>
      <c r="H157">
        <v>0.96</v>
      </c>
      <c r="I157" t="s">
        <v>4626</v>
      </c>
      <c r="J157" t="s">
        <v>4591</v>
      </c>
    </row>
    <row r="158" spans="1:10">
      <c r="B158" t="s">
        <v>291</v>
      </c>
      <c r="C158">
        <v>1</v>
      </c>
      <c r="E158">
        <v>40770.78</v>
      </c>
      <c r="G158">
        <v>0.1</v>
      </c>
      <c r="H158">
        <v>1.28</v>
      </c>
      <c r="I158" t="s">
        <v>4626</v>
      </c>
      <c r="J158" t="s">
        <v>4591</v>
      </c>
    </row>
    <row r="159" spans="1:10">
      <c r="B159" t="s">
        <v>291</v>
      </c>
      <c r="C159">
        <v>2</v>
      </c>
      <c r="E159">
        <v>40868.400000000001</v>
      </c>
      <c r="G159">
        <v>0.1</v>
      </c>
      <c r="H159">
        <v>1.26</v>
      </c>
      <c r="I159" t="s">
        <v>4626</v>
      </c>
      <c r="J159" t="s">
        <v>4591</v>
      </c>
    </row>
    <row r="160" spans="1:10">
      <c r="B160" t="s">
        <v>291</v>
      </c>
      <c r="C160">
        <v>5</v>
      </c>
      <c r="E160">
        <v>40911.980000000003</v>
      </c>
      <c r="G160">
        <v>0.1</v>
      </c>
      <c r="H160">
        <v>1.03</v>
      </c>
      <c r="I160" t="s">
        <v>4626</v>
      </c>
      <c r="J160" t="s">
        <v>4591</v>
      </c>
    </row>
    <row r="161" spans="2:10">
      <c r="B161" t="s">
        <v>291</v>
      </c>
      <c r="C161">
        <v>3</v>
      </c>
      <c r="E161">
        <v>40923.83</v>
      </c>
      <c r="G161">
        <v>0.1</v>
      </c>
      <c r="H161">
        <v>1.32</v>
      </c>
      <c r="I161" t="s">
        <v>4626</v>
      </c>
      <c r="J161" t="s">
        <v>4591</v>
      </c>
    </row>
    <row r="162" spans="2:10">
      <c r="B162" t="s">
        <v>291</v>
      </c>
      <c r="C162">
        <v>2</v>
      </c>
      <c r="E162">
        <v>41104.519999999997</v>
      </c>
      <c r="G162">
        <v>0.1</v>
      </c>
      <c r="H162">
        <v>1.5</v>
      </c>
      <c r="I162" t="s">
        <v>4626</v>
      </c>
      <c r="J162" t="s">
        <v>4591</v>
      </c>
    </row>
    <row r="163" spans="2:10">
      <c r="B163" t="s">
        <v>291</v>
      </c>
      <c r="C163">
        <v>0</v>
      </c>
      <c r="E163">
        <v>41127.379999999997</v>
      </c>
      <c r="G163">
        <v>0.1</v>
      </c>
      <c r="I163" t="s">
        <v>4626</v>
      </c>
      <c r="J163" t="s">
        <v>4591</v>
      </c>
    </row>
    <row r="164" spans="2:10">
      <c r="B164" t="s">
        <v>291</v>
      </c>
      <c r="C164">
        <v>6</v>
      </c>
      <c r="E164">
        <v>41171.440000000002</v>
      </c>
      <c r="G164">
        <v>0.1</v>
      </c>
      <c r="I164" t="s">
        <v>4626</v>
      </c>
      <c r="J164" t="s">
        <v>4591</v>
      </c>
    </row>
    <row r="165" spans="2:10">
      <c r="B165" t="s">
        <v>291</v>
      </c>
      <c r="C165">
        <v>4</v>
      </c>
      <c r="E165">
        <v>41198.14</v>
      </c>
      <c r="G165">
        <v>0.1</v>
      </c>
      <c r="H165">
        <v>1.22</v>
      </c>
      <c r="I165" t="s">
        <v>4626</v>
      </c>
      <c r="J165" t="s">
        <v>4591</v>
      </c>
    </row>
    <row r="166" spans="2:10">
      <c r="B166" t="s">
        <v>291</v>
      </c>
      <c r="C166">
        <v>6</v>
      </c>
      <c r="E166">
        <v>41417.519999999997</v>
      </c>
      <c r="G166">
        <v>0.1</v>
      </c>
      <c r="H166">
        <v>1.23</v>
      </c>
      <c r="I166" t="s">
        <v>4626</v>
      </c>
      <c r="J166" t="s">
        <v>4591</v>
      </c>
    </row>
    <row r="167" spans="2:10">
      <c r="B167" t="s">
        <v>291</v>
      </c>
      <c r="C167">
        <v>3</v>
      </c>
      <c r="E167">
        <v>41499.43</v>
      </c>
      <c r="G167">
        <v>0.1</v>
      </c>
      <c r="H167">
        <v>1.1100000000000001</v>
      </c>
      <c r="I167" t="s">
        <v>4626</v>
      </c>
      <c r="J167" t="s">
        <v>4591</v>
      </c>
    </row>
    <row r="168" spans="2:10">
      <c r="B168" t="s">
        <v>291</v>
      </c>
      <c r="C168">
        <v>2</v>
      </c>
      <c r="E168">
        <v>41583.199999999997</v>
      </c>
      <c r="G168">
        <v>0.1</v>
      </c>
      <c r="H168">
        <v>1.06</v>
      </c>
      <c r="I168" t="s">
        <v>4626</v>
      </c>
      <c r="J168" t="s">
        <v>4591</v>
      </c>
    </row>
    <row r="169" spans="2:10">
      <c r="B169" t="s">
        <v>291</v>
      </c>
      <c r="C169">
        <v>3</v>
      </c>
      <c r="E169">
        <v>41694.339999999997</v>
      </c>
      <c r="G169">
        <v>0.1</v>
      </c>
      <c r="H169">
        <v>1.28</v>
      </c>
      <c r="I169" t="s">
        <v>4626</v>
      </c>
      <c r="J169" t="s">
        <v>4591</v>
      </c>
    </row>
    <row r="170" spans="2:10">
      <c r="B170" t="s">
        <v>291</v>
      </c>
      <c r="C170">
        <v>2</v>
      </c>
      <c r="E170">
        <v>41734.129999999997</v>
      </c>
      <c r="G170">
        <v>0.1</v>
      </c>
      <c r="H170">
        <v>1.1000000000000001</v>
      </c>
      <c r="I170" t="s">
        <v>4626</v>
      </c>
      <c r="J170" t="s">
        <v>4591</v>
      </c>
    </row>
    <row r="171" spans="2:10">
      <c r="B171" t="s">
        <v>291</v>
      </c>
      <c r="C171">
        <v>4</v>
      </c>
      <c r="E171">
        <v>41871.94</v>
      </c>
      <c r="G171">
        <v>0.1</v>
      </c>
      <c r="H171">
        <v>1.1100000000000001</v>
      </c>
      <c r="I171" t="s">
        <v>4626</v>
      </c>
      <c r="J171" t="s">
        <v>4591</v>
      </c>
    </row>
    <row r="172" spans="2:10">
      <c r="B172" t="s">
        <v>291</v>
      </c>
      <c r="C172">
        <v>0</v>
      </c>
      <c r="E172">
        <v>41965.24</v>
      </c>
      <c r="G172">
        <v>0.1</v>
      </c>
      <c r="I172" t="s">
        <v>4626</v>
      </c>
      <c r="J172" t="s">
        <v>4591</v>
      </c>
    </row>
    <row r="173" spans="2:10">
      <c r="B173" t="s">
        <v>291</v>
      </c>
      <c r="C173">
        <v>2</v>
      </c>
      <c r="E173">
        <v>41978.62</v>
      </c>
      <c r="G173">
        <v>0.1</v>
      </c>
      <c r="H173">
        <v>0.8</v>
      </c>
      <c r="I173" t="s">
        <v>4626</v>
      </c>
      <c r="J173" t="s">
        <v>4591</v>
      </c>
    </row>
    <row r="174" spans="2:10">
      <c r="B174" t="s">
        <v>291</v>
      </c>
      <c r="C174">
        <v>6</v>
      </c>
      <c r="E174">
        <v>42239.06</v>
      </c>
      <c r="G174">
        <v>0.1</v>
      </c>
      <c r="I174" t="s">
        <v>4626</v>
      </c>
      <c r="J174" t="s">
        <v>4591</v>
      </c>
    </row>
    <row r="175" spans="2:10">
      <c r="B175" t="s">
        <v>291</v>
      </c>
      <c r="C175">
        <v>3</v>
      </c>
      <c r="E175">
        <v>42251.51</v>
      </c>
      <c r="G175">
        <v>0.1</v>
      </c>
      <c r="H175">
        <v>1.32</v>
      </c>
      <c r="I175" t="s">
        <v>4626</v>
      </c>
      <c r="J175" t="s">
        <v>4591</v>
      </c>
    </row>
    <row r="176" spans="2:10">
      <c r="B176" t="s">
        <v>291</v>
      </c>
      <c r="C176">
        <v>1</v>
      </c>
      <c r="E176">
        <v>42262.3</v>
      </c>
      <c r="G176">
        <v>0.1</v>
      </c>
      <c r="H176">
        <v>1.5</v>
      </c>
      <c r="I176" t="s">
        <v>4626</v>
      </c>
      <c r="J176" t="s">
        <v>4591</v>
      </c>
    </row>
    <row r="177" spans="1:10">
      <c r="B177" t="s">
        <v>291</v>
      </c>
      <c r="C177">
        <v>2</v>
      </c>
      <c r="E177">
        <v>42449.599999999999</v>
      </c>
      <c r="G177">
        <v>0.1</v>
      </c>
      <c r="I177" t="s">
        <v>4626</v>
      </c>
      <c r="J177" t="s">
        <v>4591</v>
      </c>
    </row>
    <row r="178" spans="1:10">
      <c r="B178" t="s">
        <v>291</v>
      </c>
      <c r="C178">
        <v>4</v>
      </c>
      <c r="E178">
        <v>42450.239999999998</v>
      </c>
      <c r="G178">
        <v>0.1</v>
      </c>
      <c r="I178" t="s">
        <v>4626</v>
      </c>
      <c r="J178" t="s">
        <v>4591</v>
      </c>
    </row>
    <row r="179" spans="1:10">
      <c r="B179" t="s">
        <v>291</v>
      </c>
      <c r="C179">
        <v>3</v>
      </c>
      <c r="E179">
        <v>42514.14</v>
      </c>
      <c r="G179">
        <v>0.1</v>
      </c>
      <c r="H179">
        <v>1.22</v>
      </c>
      <c r="I179" t="s">
        <v>4626</v>
      </c>
      <c r="J179" t="s">
        <v>4591</v>
      </c>
    </row>
    <row r="180" spans="1:10">
      <c r="B180" t="s">
        <v>291</v>
      </c>
      <c r="C180">
        <v>4</v>
      </c>
      <c r="E180">
        <v>42532.62</v>
      </c>
      <c r="G180">
        <v>0.1</v>
      </c>
      <c r="I180" t="s">
        <v>4626</v>
      </c>
      <c r="J180" t="s">
        <v>4591</v>
      </c>
    </row>
    <row r="181" spans="1:10">
      <c r="B181" t="s">
        <v>291</v>
      </c>
      <c r="C181">
        <v>1</v>
      </c>
      <c r="E181">
        <v>42573.49</v>
      </c>
      <c r="G181">
        <v>0.1</v>
      </c>
      <c r="H181">
        <v>1.3</v>
      </c>
      <c r="I181" t="s">
        <v>4626</v>
      </c>
      <c r="J181" t="s">
        <v>4591</v>
      </c>
    </row>
    <row r="182" spans="1:10">
      <c r="B182" t="s">
        <v>291</v>
      </c>
      <c r="C182">
        <v>3</v>
      </c>
      <c r="E182">
        <v>42601.19</v>
      </c>
      <c r="G182">
        <v>0.1</v>
      </c>
      <c r="H182">
        <v>1.1200000000000001</v>
      </c>
      <c r="I182" t="s">
        <v>4626</v>
      </c>
      <c r="J182" t="s">
        <v>4591</v>
      </c>
    </row>
    <row r="183" spans="1:10">
      <c r="B183" t="s">
        <v>291</v>
      </c>
      <c r="C183">
        <v>5</v>
      </c>
      <c r="E183">
        <v>42866</v>
      </c>
      <c r="G183">
        <v>0.1</v>
      </c>
      <c r="H183">
        <v>1.1100000000000001</v>
      </c>
      <c r="I183" t="s">
        <v>4626</v>
      </c>
      <c r="J183" t="s">
        <v>4591</v>
      </c>
    </row>
    <row r="184" spans="1:10">
      <c r="B184" t="s">
        <v>291</v>
      </c>
      <c r="C184">
        <v>4</v>
      </c>
      <c r="E184">
        <v>42910.74</v>
      </c>
      <c r="G184">
        <v>0.1</v>
      </c>
      <c r="H184">
        <v>1.18</v>
      </c>
      <c r="I184" t="s">
        <v>4626</v>
      </c>
      <c r="J184" t="s">
        <v>4591</v>
      </c>
    </row>
    <row r="185" spans="1:10">
      <c r="B185" t="s">
        <v>291</v>
      </c>
      <c r="C185">
        <v>5</v>
      </c>
      <c r="E185">
        <v>43034.1</v>
      </c>
      <c r="G185">
        <v>0.1</v>
      </c>
      <c r="I185" t="s">
        <v>4626</v>
      </c>
      <c r="J185" t="s">
        <v>4591</v>
      </c>
    </row>
    <row r="186" spans="1:10">
      <c r="B186" t="s">
        <v>291</v>
      </c>
      <c r="C186">
        <v>0</v>
      </c>
      <c r="E186">
        <v>43053.88</v>
      </c>
      <c r="G186">
        <v>0.1</v>
      </c>
      <c r="I186" t="s">
        <v>4626</v>
      </c>
      <c r="J186" t="s">
        <v>4591</v>
      </c>
    </row>
    <row r="187" spans="1:10">
      <c r="B187" t="s">
        <v>291</v>
      </c>
      <c r="C187">
        <v>1</v>
      </c>
      <c r="E187">
        <v>43217.33</v>
      </c>
      <c r="G187">
        <v>0.1</v>
      </c>
      <c r="H187">
        <v>1.3</v>
      </c>
      <c r="I187" t="s">
        <v>4626</v>
      </c>
      <c r="J187" t="s">
        <v>4591</v>
      </c>
    </row>
    <row r="188" spans="1:10">
      <c r="B188" t="s">
        <v>291</v>
      </c>
      <c r="C188">
        <v>2</v>
      </c>
      <c r="E188">
        <v>43227.66</v>
      </c>
      <c r="G188">
        <v>0.1</v>
      </c>
      <c r="H188">
        <v>1.3</v>
      </c>
      <c r="I188" t="s">
        <v>4626</v>
      </c>
      <c r="J188" t="s">
        <v>4591</v>
      </c>
    </row>
    <row r="189" spans="1:10">
      <c r="B189" t="s">
        <v>291</v>
      </c>
      <c r="C189">
        <v>4</v>
      </c>
      <c r="E189">
        <v>43251</v>
      </c>
      <c r="G189">
        <v>0.1</v>
      </c>
      <c r="H189">
        <v>1.1399999999999999</v>
      </c>
      <c r="I189" t="s">
        <v>4626</v>
      </c>
      <c r="J189" t="s">
        <v>4591</v>
      </c>
    </row>
    <row r="190" spans="1:10">
      <c r="B190" t="s">
        <v>291</v>
      </c>
      <c r="C190">
        <v>7</v>
      </c>
      <c r="E190">
        <v>43411.5</v>
      </c>
      <c r="G190">
        <v>0.1</v>
      </c>
      <c r="H190">
        <v>1.2</v>
      </c>
      <c r="I190" t="s">
        <v>4626</v>
      </c>
      <c r="J190" t="s">
        <v>4591</v>
      </c>
    </row>
    <row r="191" spans="1:10">
      <c r="A191" t="s">
        <v>4660</v>
      </c>
      <c r="B191" t="s">
        <v>4661</v>
      </c>
      <c r="C191">
        <v>1</v>
      </c>
      <c r="E191">
        <v>43451.98</v>
      </c>
      <c r="G191">
        <v>0.1</v>
      </c>
      <c r="H191">
        <v>2.83</v>
      </c>
      <c r="I191">
        <v>87</v>
      </c>
      <c r="J191" t="s">
        <v>4591</v>
      </c>
    </row>
    <row r="192" spans="1:10">
      <c r="A192" t="s">
        <v>4660</v>
      </c>
      <c r="B192" t="s">
        <v>4661</v>
      </c>
      <c r="C192">
        <v>2</v>
      </c>
      <c r="E192">
        <v>44919.839999999997</v>
      </c>
      <c r="G192">
        <v>0.1</v>
      </c>
      <c r="H192">
        <v>1.9</v>
      </c>
      <c r="I192">
        <v>90</v>
      </c>
      <c r="J192" t="s">
        <v>4591</v>
      </c>
    </row>
    <row r="193" spans="1:10">
      <c r="A193" t="s">
        <v>4660</v>
      </c>
      <c r="B193" t="s">
        <v>4661</v>
      </c>
      <c r="C193">
        <v>3</v>
      </c>
      <c r="E193">
        <v>46496.62</v>
      </c>
      <c r="G193">
        <v>0.1</v>
      </c>
      <c r="H193">
        <v>1.74</v>
      </c>
      <c r="I193">
        <v>89</v>
      </c>
      <c r="J193" t="s">
        <v>4591</v>
      </c>
    </row>
    <row r="194" spans="1:10">
      <c r="A194" t="s">
        <v>4660</v>
      </c>
      <c r="B194" t="s">
        <v>4661</v>
      </c>
      <c r="C194">
        <v>4</v>
      </c>
      <c r="E194">
        <v>47975.54</v>
      </c>
      <c r="G194">
        <v>0.1</v>
      </c>
      <c r="H194">
        <v>1.68</v>
      </c>
      <c r="I194">
        <v>90</v>
      </c>
      <c r="J194" t="s">
        <v>4591</v>
      </c>
    </row>
    <row r="195" spans="1:10">
      <c r="A195" t="s">
        <v>4660</v>
      </c>
      <c r="B195" t="s">
        <v>4661</v>
      </c>
      <c r="C195">
        <v>5</v>
      </c>
      <c r="E195">
        <v>49354.68</v>
      </c>
      <c r="G195">
        <v>0.1</v>
      </c>
      <c r="H195">
        <v>1.7</v>
      </c>
      <c r="I195">
        <v>88</v>
      </c>
      <c r="J195" t="s">
        <v>4591</v>
      </c>
    </row>
    <row r="196" spans="1:10">
      <c r="B196" t="s">
        <v>291</v>
      </c>
      <c r="C196">
        <v>3</v>
      </c>
      <c r="E196">
        <v>43478.58</v>
      </c>
      <c r="G196">
        <v>0.1</v>
      </c>
      <c r="H196">
        <v>1.3</v>
      </c>
      <c r="I196" t="s">
        <v>4626</v>
      </c>
      <c r="J196" t="s">
        <v>4591</v>
      </c>
    </row>
    <row r="197" spans="1:10">
      <c r="B197" t="s">
        <v>291</v>
      </c>
      <c r="C197">
        <v>2</v>
      </c>
      <c r="E197">
        <v>43514.68</v>
      </c>
      <c r="G197">
        <v>0.1</v>
      </c>
      <c r="H197">
        <v>0.9</v>
      </c>
      <c r="I197" t="s">
        <v>4626</v>
      </c>
      <c r="J197" t="s">
        <v>4591</v>
      </c>
    </row>
    <row r="198" spans="1:10">
      <c r="B198" t="s">
        <v>291</v>
      </c>
      <c r="C198">
        <v>4</v>
      </c>
      <c r="E198">
        <v>43720.87</v>
      </c>
      <c r="G198">
        <v>0.1</v>
      </c>
      <c r="I198" t="s">
        <v>4626</v>
      </c>
      <c r="J198" t="s">
        <v>4591</v>
      </c>
    </row>
    <row r="199" spans="1:10">
      <c r="B199" t="s">
        <v>291</v>
      </c>
      <c r="C199">
        <v>5</v>
      </c>
      <c r="E199">
        <v>43741.37</v>
      </c>
      <c r="G199">
        <v>0.1</v>
      </c>
      <c r="H199">
        <v>1.0900000000000001</v>
      </c>
      <c r="I199" t="s">
        <v>4626</v>
      </c>
      <c r="J199" t="s">
        <v>4591</v>
      </c>
    </row>
    <row r="200" spans="1:10">
      <c r="B200" t="s">
        <v>291</v>
      </c>
      <c r="C200">
        <v>3</v>
      </c>
      <c r="E200">
        <v>43850.84</v>
      </c>
      <c r="G200">
        <v>0.1</v>
      </c>
      <c r="H200">
        <v>1.17</v>
      </c>
      <c r="I200" t="s">
        <v>4626</v>
      </c>
      <c r="J200" t="s">
        <v>4591</v>
      </c>
    </row>
    <row r="201" spans="1:10">
      <c r="B201" t="s">
        <v>291</v>
      </c>
      <c r="C201">
        <v>1</v>
      </c>
      <c r="E201">
        <v>43892.62</v>
      </c>
      <c r="G201">
        <v>0.1</v>
      </c>
      <c r="H201">
        <v>1.05</v>
      </c>
      <c r="I201" t="s">
        <v>4626</v>
      </c>
      <c r="J201" t="s">
        <v>4591</v>
      </c>
    </row>
    <row r="202" spans="1:10">
      <c r="B202" t="s">
        <v>291</v>
      </c>
      <c r="C202">
        <v>5</v>
      </c>
      <c r="E202">
        <v>43924.25</v>
      </c>
      <c r="G202">
        <v>0.1</v>
      </c>
      <c r="H202">
        <v>1.2</v>
      </c>
      <c r="I202" t="s">
        <v>4626</v>
      </c>
      <c r="J202" t="s">
        <v>4591</v>
      </c>
    </row>
    <row r="203" spans="1:10">
      <c r="B203" t="s">
        <v>291</v>
      </c>
      <c r="C203">
        <v>2</v>
      </c>
      <c r="E203">
        <v>43975.22</v>
      </c>
      <c r="G203">
        <v>0.1</v>
      </c>
      <c r="H203">
        <v>1.1499999999999999</v>
      </c>
      <c r="I203" t="s">
        <v>4626</v>
      </c>
      <c r="J203" t="s">
        <v>4591</v>
      </c>
    </row>
    <row r="204" spans="1:10">
      <c r="B204" t="s">
        <v>291</v>
      </c>
      <c r="C204">
        <v>4</v>
      </c>
      <c r="E204">
        <v>43985.41</v>
      </c>
      <c r="G204">
        <v>0.1</v>
      </c>
      <c r="H204">
        <v>1.24</v>
      </c>
      <c r="I204" t="s">
        <v>4626</v>
      </c>
      <c r="J204" t="s">
        <v>4591</v>
      </c>
    </row>
    <row r="205" spans="1:10">
      <c r="B205" t="s">
        <v>291</v>
      </c>
      <c r="C205">
        <v>3</v>
      </c>
      <c r="E205">
        <v>44021</v>
      </c>
      <c r="G205">
        <v>0.1</v>
      </c>
      <c r="H205">
        <v>1.2</v>
      </c>
      <c r="I205" t="s">
        <v>4626</v>
      </c>
      <c r="J205" t="s">
        <v>4591</v>
      </c>
    </row>
    <row r="206" spans="1:10">
      <c r="B206" t="s">
        <v>291</v>
      </c>
      <c r="C206">
        <v>1</v>
      </c>
      <c r="E206">
        <v>44353.46</v>
      </c>
      <c r="G206">
        <v>0.1</v>
      </c>
      <c r="H206">
        <v>1.02</v>
      </c>
      <c r="I206" t="s">
        <v>4626</v>
      </c>
      <c r="J206" t="s">
        <v>4591</v>
      </c>
    </row>
    <row r="207" spans="1:10">
      <c r="B207" t="s">
        <v>291</v>
      </c>
      <c r="C207">
        <v>2</v>
      </c>
      <c r="E207">
        <v>44367.5</v>
      </c>
      <c r="G207">
        <v>0.1</v>
      </c>
      <c r="H207">
        <v>1.1000000000000001</v>
      </c>
      <c r="I207" t="s">
        <v>4626</v>
      </c>
      <c r="J207" t="s">
        <v>4591</v>
      </c>
    </row>
    <row r="208" spans="1:10">
      <c r="B208" t="s">
        <v>291</v>
      </c>
      <c r="C208">
        <v>6</v>
      </c>
      <c r="E208">
        <v>44390.42</v>
      </c>
      <c r="G208">
        <v>0.1</v>
      </c>
      <c r="H208">
        <v>1.28</v>
      </c>
      <c r="I208" t="s">
        <v>4626</v>
      </c>
      <c r="J208" t="s">
        <v>4591</v>
      </c>
    </row>
    <row r="209" spans="1:10">
      <c r="B209" t="s">
        <v>291</v>
      </c>
      <c r="C209">
        <v>3</v>
      </c>
      <c r="E209">
        <v>44447.02</v>
      </c>
      <c r="G209">
        <v>0.1</v>
      </c>
      <c r="H209">
        <v>1.38</v>
      </c>
      <c r="I209" t="s">
        <v>4626</v>
      </c>
      <c r="J209" t="s">
        <v>4591</v>
      </c>
    </row>
    <row r="210" spans="1:10">
      <c r="B210" t="s">
        <v>291</v>
      </c>
      <c r="C210">
        <v>5</v>
      </c>
      <c r="E210">
        <v>44546.76</v>
      </c>
      <c r="G210">
        <v>0.1</v>
      </c>
      <c r="H210">
        <v>1.3</v>
      </c>
      <c r="I210" t="s">
        <v>4626</v>
      </c>
      <c r="J210" t="s">
        <v>4591</v>
      </c>
    </row>
    <row r="211" spans="1:10">
      <c r="B211" t="s">
        <v>291</v>
      </c>
      <c r="C211">
        <v>2</v>
      </c>
      <c r="E211">
        <v>44596.28</v>
      </c>
      <c r="G211">
        <v>0.1</v>
      </c>
      <c r="H211">
        <v>1.1100000000000001</v>
      </c>
      <c r="I211" t="s">
        <v>4626</v>
      </c>
      <c r="J211" t="s">
        <v>4591</v>
      </c>
    </row>
    <row r="212" spans="1:10">
      <c r="B212" t="s">
        <v>291</v>
      </c>
      <c r="C212">
        <v>1</v>
      </c>
      <c r="E212">
        <v>44737.21</v>
      </c>
      <c r="G212">
        <v>0.1</v>
      </c>
      <c r="H212">
        <v>1.1000000000000001</v>
      </c>
      <c r="I212" t="s">
        <v>4626</v>
      </c>
      <c r="J212" t="s">
        <v>4591</v>
      </c>
    </row>
    <row r="213" spans="1:10">
      <c r="B213" t="s">
        <v>291</v>
      </c>
      <c r="C213">
        <v>6</v>
      </c>
      <c r="E213">
        <v>44923.9</v>
      </c>
      <c r="G213">
        <v>0.1</v>
      </c>
      <c r="H213">
        <v>1.23</v>
      </c>
      <c r="I213" t="s">
        <v>4626</v>
      </c>
      <c r="J213" t="s">
        <v>4591</v>
      </c>
    </row>
    <row r="214" spans="1:10">
      <c r="B214" t="s">
        <v>291</v>
      </c>
      <c r="C214">
        <v>4</v>
      </c>
      <c r="E214">
        <v>44940.57</v>
      </c>
      <c r="G214">
        <v>0.1</v>
      </c>
      <c r="H214">
        <v>1.2</v>
      </c>
      <c r="I214" t="s">
        <v>4626</v>
      </c>
      <c r="J214" t="s">
        <v>4591</v>
      </c>
    </row>
    <row r="215" spans="1:10">
      <c r="B215" t="s">
        <v>291</v>
      </c>
      <c r="C215">
        <v>7</v>
      </c>
      <c r="E215">
        <v>44970.82</v>
      </c>
      <c r="G215">
        <v>0.1</v>
      </c>
      <c r="H215">
        <v>1.2</v>
      </c>
      <c r="I215" t="s">
        <v>4626</v>
      </c>
      <c r="J215" t="s">
        <v>4591</v>
      </c>
    </row>
    <row r="216" spans="1:10">
      <c r="B216" t="s">
        <v>291</v>
      </c>
      <c r="C216">
        <v>3</v>
      </c>
      <c r="E216">
        <v>45014.54</v>
      </c>
      <c r="G216">
        <v>0.1</v>
      </c>
      <c r="H216">
        <v>1.3</v>
      </c>
      <c r="I216" t="s">
        <v>4626</v>
      </c>
      <c r="J216" t="s">
        <v>4591</v>
      </c>
    </row>
    <row r="217" spans="1:10">
      <c r="B217" t="s">
        <v>291</v>
      </c>
      <c r="C217">
        <v>2</v>
      </c>
      <c r="E217">
        <v>45019.02</v>
      </c>
      <c r="G217">
        <v>0.1</v>
      </c>
      <c r="I217" t="s">
        <v>4626</v>
      </c>
      <c r="J217" t="s">
        <v>4591</v>
      </c>
    </row>
    <row r="218" spans="1:10">
      <c r="B218" t="s">
        <v>291</v>
      </c>
      <c r="C218">
        <v>4</v>
      </c>
      <c r="E218">
        <v>45116.77</v>
      </c>
      <c r="G218">
        <v>0.1</v>
      </c>
      <c r="H218">
        <v>1.2</v>
      </c>
      <c r="I218" t="s">
        <v>4626</v>
      </c>
      <c r="J218" t="s">
        <v>4591</v>
      </c>
    </row>
    <row r="219" spans="1:10">
      <c r="A219" t="s">
        <v>4660</v>
      </c>
      <c r="B219" t="s">
        <v>4388</v>
      </c>
      <c r="C219">
        <v>0</v>
      </c>
      <c r="E219">
        <v>45225.22</v>
      </c>
      <c r="G219">
        <v>0.1</v>
      </c>
      <c r="I219">
        <v>86</v>
      </c>
      <c r="J219" t="s">
        <v>4591</v>
      </c>
    </row>
    <row r="220" spans="1:10">
      <c r="A220" t="s">
        <v>4660</v>
      </c>
      <c r="B220" t="s">
        <v>4388</v>
      </c>
      <c r="C220">
        <v>1</v>
      </c>
      <c r="E220">
        <v>46458.3</v>
      </c>
      <c r="G220">
        <v>0.1</v>
      </c>
      <c r="I220">
        <v>82</v>
      </c>
      <c r="J220" t="s">
        <v>4591</v>
      </c>
    </row>
    <row r="221" spans="1:10">
      <c r="A221" t="s">
        <v>4660</v>
      </c>
      <c r="B221" t="s">
        <v>4388</v>
      </c>
      <c r="C221">
        <v>2</v>
      </c>
      <c r="E221">
        <v>48078.32</v>
      </c>
      <c r="G221">
        <v>0.1</v>
      </c>
      <c r="H221">
        <v>1.55</v>
      </c>
      <c r="I221">
        <v>71</v>
      </c>
      <c r="J221" t="s">
        <v>4591</v>
      </c>
    </row>
    <row r="222" spans="1:10">
      <c r="A222" t="s">
        <v>4660</v>
      </c>
      <c r="B222" t="s">
        <v>4388</v>
      </c>
      <c r="C222">
        <v>3</v>
      </c>
      <c r="E222">
        <v>49656.04</v>
      </c>
      <c r="G222">
        <v>0.1</v>
      </c>
      <c r="H222">
        <v>1.66</v>
      </c>
      <c r="I222">
        <v>74</v>
      </c>
      <c r="J222" t="s">
        <v>4591</v>
      </c>
    </row>
    <row r="223" spans="1:10">
      <c r="A223" t="s">
        <v>4660</v>
      </c>
      <c r="B223" t="s">
        <v>4388</v>
      </c>
      <c r="C223">
        <v>4</v>
      </c>
      <c r="E223">
        <v>51123.14</v>
      </c>
      <c r="G223">
        <v>0.1</v>
      </c>
      <c r="H223">
        <v>1.4</v>
      </c>
      <c r="I223">
        <v>71</v>
      </c>
      <c r="J223" t="s">
        <v>4591</v>
      </c>
    </row>
    <row r="224" spans="1:10">
      <c r="B224" t="s">
        <v>291</v>
      </c>
      <c r="C224">
        <v>4</v>
      </c>
      <c r="E224">
        <v>45262.55</v>
      </c>
      <c r="G224">
        <v>0.1</v>
      </c>
      <c r="H224">
        <v>1.1000000000000001</v>
      </c>
      <c r="I224" t="s">
        <v>4626</v>
      </c>
      <c r="J224" t="s">
        <v>4591</v>
      </c>
    </row>
    <row r="225" spans="2:10">
      <c r="B225" t="s">
        <v>291</v>
      </c>
      <c r="C225">
        <v>0</v>
      </c>
      <c r="E225">
        <v>45306.89</v>
      </c>
      <c r="G225">
        <v>0.1</v>
      </c>
      <c r="I225" t="s">
        <v>4626</v>
      </c>
      <c r="J225" t="s">
        <v>4591</v>
      </c>
    </row>
    <row r="226" spans="2:10">
      <c r="B226" t="s">
        <v>291</v>
      </c>
      <c r="C226">
        <v>1</v>
      </c>
      <c r="E226">
        <v>45374</v>
      </c>
      <c r="G226">
        <v>0.1</v>
      </c>
      <c r="I226" t="s">
        <v>4626</v>
      </c>
      <c r="J226" t="s">
        <v>4591</v>
      </c>
    </row>
    <row r="227" spans="2:10">
      <c r="B227" t="s">
        <v>291</v>
      </c>
      <c r="C227">
        <v>2</v>
      </c>
      <c r="E227">
        <v>45422.26</v>
      </c>
      <c r="G227">
        <v>0.1</v>
      </c>
      <c r="H227">
        <v>0.63</v>
      </c>
      <c r="I227" t="s">
        <v>4626</v>
      </c>
      <c r="J227" t="s">
        <v>4591</v>
      </c>
    </row>
    <row r="228" spans="2:10">
      <c r="B228" t="s">
        <v>291</v>
      </c>
      <c r="C228">
        <v>5</v>
      </c>
      <c r="E228">
        <v>45451.65</v>
      </c>
      <c r="G228">
        <v>0.1</v>
      </c>
      <c r="H228">
        <v>1.1599999999999999</v>
      </c>
      <c r="I228" t="s">
        <v>4626</v>
      </c>
      <c r="J228" t="s">
        <v>4591</v>
      </c>
    </row>
    <row r="229" spans="2:10">
      <c r="B229" t="s">
        <v>291</v>
      </c>
      <c r="C229">
        <v>3</v>
      </c>
      <c r="E229">
        <v>45551.32</v>
      </c>
      <c r="G229">
        <v>0.1</v>
      </c>
      <c r="H229">
        <v>1.3</v>
      </c>
      <c r="I229" t="s">
        <v>4626</v>
      </c>
      <c r="J229" t="s">
        <v>4591</v>
      </c>
    </row>
    <row r="230" spans="2:10">
      <c r="B230" t="s">
        <v>291</v>
      </c>
      <c r="C230">
        <v>3</v>
      </c>
      <c r="E230">
        <v>45677.69</v>
      </c>
      <c r="G230">
        <v>0.1</v>
      </c>
      <c r="H230">
        <v>1.24</v>
      </c>
      <c r="I230" t="s">
        <v>4626</v>
      </c>
      <c r="J230" t="s">
        <v>4591</v>
      </c>
    </row>
    <row r="231" spans="2:10">
      <c r="B231" t="s">
        <v>291</v>
      </c>
      <c r="C231">
        <v>1</v>
      </c>
      <c r="E231">
        <v>45760.800000000003</v>
      </c>
      <c r="G231">
        <v>0.1</v>
      </c>
      <c r="I231" t="s">
        <v>4626</v>
      </c>
      <c r="J231" t="s">
        <v>4591</v>
      </c>
    </row>
    <row r="232" spans="2:10">
      <c r="B232" t="s">
        <v>291</v>
      </c>
      <c r="C232">
        <v>5</v>
      </c>
      <c r="E232">
        <v>45789.14</v>
      </c>
      <c r="G232">
        <v>0.1</v>
      </c>
      <c r="H232">
        <v>1.19</v>
      </c>
      <c r="I232" t="s">
        <v>4626</v>
      </c>
      <c r="J232" t="s">
        <v>4591</v>
      </c>
    </row>
    <row r="233" spans="2:10">
      <c r="B233" t="s">
        <v>291</v>
      </c>
      <c r="C233">
        <v>4</v>
      </c>
      <c r="E233">
        <v>45869.1</v>
      </c>
      <c r="G233">
        <v>0.1</v>
      </c>
      <c r="H233">
        <v>1.36</v>
      </c>
      <c r="I233" t="s">
        <v>4626</v>
      </c>
      <c r="J233" t="s">
        <v>4591</v>
      </c>
    </row>
    <row r="234" spans="2:10">
      <c r="B234" t="s">
        <v>291</v>
      </c>
      <c r="C234">
        <v>2</v>
      </c>
      <c r="E234">
        <v>45902.48</v>
      </c>
      <c r="G234">
        <v>0.1</v>
      </c>
      <c r="H234">
        <v>0.5</v>
      </c>
      <c r="I234" t="s">
        <v>4626</v>
      </c>
      <c r="J234" t="s">
        <v>4591</v>
      </c>
    </row>
    <row r="235" spans="2:10">
      <c r="B235" t="s">
        <v>291</v>
      </c>
      <c r="C235">
        <v>3</v>
      </c>
      <c r="E235">
        <v>46068.02</v>
      </c>
      <c r="G235">
        <v>0.1</v>
      </c>
      <c r="H235">
        <v>1.46</v>
      </c>
      <c r="I235" t="s">
        <v>4626</v>
      </c>
      <c r="J235" t="s">
        <v>4591</v>
      </c>
    </row>
    <row r="236" spans="2:10">
      <c r="B236" t="s">
        <v>291</v>
      </c>
      <c r="C236">
        <v>1</v>
      </c>
      <c r="E236">
        <v>46104.62</v>
      </c>
      <c r="G236">
        <v>0.1</v>
      </c>
      <c r="I236" t="s">
        <v>4626</v>
      </c>
      <c r="J236" t="s">
        <v>4591</v>
      </c>
    </row>
    <row r="237" spans="2:10">
      <c r="B237" t="s">
        <v>291</v>
      </c>
      <c r="C237">
        <v>6</v>
      </c>
      <c r="E237">
        <v>46106.2</v>
      </c>
      <c r="G237">
        <v>0.1</v>
      </c>
      <c r="I237" t="s">
        <v>4626</v>
      </c>
      <c r="J237" t="s">
        <v>4591</v>
      </c>
    </row>
    <row r="238" spans="2:10">
      <c r="B238" t="s">
        <v>291</v>
      </c>
      <c r="C238">
        <v>1</v>
      </c>
      <c r="E238">
        <v>46291.63</v>
      </c>
      <c r="G238">
        <v>0.1</v>
      </c>
      <c r="I238" t="s">
        <v>4626</v>
      </c>
      <c r="J238" t="s">
        <v>4591</v>
      </c>
    </row>
    <row r="239" spans="2:10">
      <c r="B239" t="s">
        <v>291</v>
      </c>
      <c r="C239">
        <v>2</v>
      </c>
      <c r="E239">
        <v>46327.75</v>
      </c>
      <c r="G239">
        <v>0.1</v>
      </c>
      <c r="H239">
        <v>0.8</v>
      </c>
      <c r="I239" t="s">
        <v>4626</v>
      </c>
      <c r="J239" t="s">
        <v>4591</v>
      </c>
    </row>
    <row r="240" spans="2:10">
      <c r="B240" t="s">
        <v>291</v>
      </c>
      <c r="C240">
        <v>3</v>
      </c>
      <c r="E240">
        <v>46385.46</v>
      </c>
      <c r="G240">
        <v>0.1</v>
      </c>
      <c r="H240">
        <v>1.4</v>
      </c>
      <c r="I240" t="s">
        <v>4626</v>
      </c>
      <c r="J240" t="s">
        <v>4591</v>
      </c>
    </row>
    <row r="241" spans="2:10">
      <c r="B241" t="s">
        <v>291</v>
      </c>
      <c r="C241">
        <v>5</v>
      </c>
      <c r="E241">
        <v>46506.37</v>
      </c>
      <c r="G241">
        <v>0.1</v>
      </c>
      <c r="H241">
        <v>1.38</v>
      </c>
      <c r="I241" t="s">
        <v>4626</v>
      </c>
      <c r="J241" t="s">
        <v>4591</v>
      </c>
    </row>
    <row r="242" spans="2:10">
      <c r="B242" t="s">
        <v>291</v>
      </c>
      <c r="C242">
        <v>0</v>
      </c>
      <c r="E242">
        <v>46613.7</v>
      </c>
      <c r="G242">
        <v>0.1</v>
      </c>
      <c r="I242" t="s">
        <v>4626</v>
      </c>
      <c r="J242" t="s">
        <v>4591</v>
      </c>
    </row>
    <row r="243" spans="2:10">
      <c r="B243" t="s">
        <v>291</v>
      </c>
      <c r="C243">
        <v>4</v>
      </c>
      <c r="E243">
        <v>46625.05</v>
      </c>
      <c r="G243">
        <v>0.1</v>
      </c>
      <c r="H243">
        <v>1.1399999999999999</v>
      </c>
      <c r="I243" t="s">
        <v>4626</v>
      </c>
      <c r="J243" t="s">
        <v>4591</v>
      </c>
    </row>
    <row r="244" spans="2:10">
      <c r="B244" t="s">
        <v>291</v>
      </c>
      <c r="C244">
        <v>6</v>
      </c>
      <c r="E244">
        <v>46672.22</v>
      </c>
      <c r="G244">
        <v>0.1</v>
      </c>
      <c r="H244">
        <v>1.18</v>
      </c>
      <c r="I244" t="s">
        <v>4626</v>
      </c>
      <c r="J244" t="s">
        <v>4591</v>
      </c>
    </row>
    <row r="245" spans="2:10">
      <c r="B245" t="s">
        <v>291</v>
      </c>
      <c r="C245">
        <v>2</v>
      </c>
      <c r="E245">
        <v>46806.45</v>
      </c>
      <c r="G245">
        <v>0.1</v>
      </c>
      <c r="H245">
        <v>1.1000000000000001</v>
      </c>
      <c r="I245" t="s">
        <v>4626</v>
      </c>
      <c r="J245" t="s">
        <v>4591</v>
      </c>
    </row>
    <row r="246" spans="2:10">
      <c r="B246" t="s">
        <v>291</v>
      </c>
      <c r="C246">
        <v>5</v>
      </c>
      <c r="E246">
        <v>46854.8</v>
      </c>
      <c r="G246">
        <v>0.1</v>
      </c>
      <c r="H246">
        <v>1.21</v>
      </c>
      <c r="I246" t="s">
        <v>4626</v>
      </c>
      <c r="J246" t="s">
        <v>4591</v>
      </c>
    </row>
    <row r="247" spans="2:10">
      <c r="B247" t="s">
        <v>291</v>
      </c>
      <c r="C247">
        <v>4</v>
      </c>
      <c r="E247">
        <v>46931.839999999997</v>
      </c>
      <c r="G247">
        <v>0.1</v>
      </c>
      <c r="H247">
        <v>1</v>
      </c>
      <c r="I247" t="s">
        <v>4626</v>
      </c>
      <c r="J247" t="s">
        <v>4591</v>
      </c>
    </row>
    <row r="248" spans="2:10">
      <c r="B248" t="s">
        <v>291</v>
      </c>
      <c r="C248">
        <v>2</v>
      </c>
      <c r="E248">
        <v>47079.4</v>
      </c>
      <c r="G248">
        <v>0.1</v>
      </c>
      <c r="H248">
        <v>1.3</v>
      </c>
      <c r="I248" t="s">
        <v>4626</v>
      </c>
      <c r="J248" t="s">
        <v>4591</v>
      </c>
    </row>
    <row r="249" spans="2:10">
      <c r="B249" t="s">
        <v>291</v>
      </c>
      <c r="C249">
        <v>1</v>
      </c>
      <c r="E249">
        <v>47255.55</v>
      </c>
      <c r="G249">
        <v>0.1</v>
      </c>
      <c r="I249" t="s">
        <v>4626</v>
      </c>
      <c r="J249" t="s">
        <v>4591</v>
      </c>
    </row>
    <row r="250" spans="2:10">
      <c r="B250" t="s">
        <v>291</v>
      </c>
      <c r="C250">
        <v>2</v>
      </c>
      <c r="E250">
        <v>47337.79</v>
      </c>
      <c r="G250">
        <v>0.1</v>
      </c>
      <c r="H250">
        <v>0.9</v>
      </c>
      <c r="I250" t="s">
        <v>4626</v>
      </c>
      <c r="J250" t="s">
        <v>4591</v>
      </c>
    </row>
    <row r="251" spans="2:10">
      <c r="B251" t="s">
        <v>291</v>
      </c>
      <c r="C251">
        <v>4</v>
      </c>
      <c r="E251">
        <v>47360.19</v>
      </c>
      <c r="G251">
        <v>0.1</v>
      </c>
      <c r="I251" t="s">
        <v>4626</v>
      </c>
      <c r="J251" t="s">
        <v>4591</v>
      </c>
    </row>
    <row r="252" spans="2:10">
      <c r="B252" t="s">
        <v>291</v>
      </c>
      <c r="C252">
        <v>3</v>
      </c>
      <c r="E252">
        <v>47361.74</v>
      </c>
      <c r="G252">
        <v>0.1</v>
      </c>
      <c r="H252">
        <v>1.3</v>
      </c>
      <c r="I252" t="s">
        <v>4626</v>
      </c>
      <c r="J252" t="s">
        <v>4591</v>
      </c>
    </row>
    <row r="253" spans="2:10">
      <c r="B253" t="s">
        <v>291</v>
      </c>
      <c r="C253">
        <v>2</v>
      </c>
      <c r="E253">
        <v>47442.53</v>
      </c>
      <c r="G253">
        <v>0.1</v>
      </c>
      <c r="I253" t="s">
        <v>4626</v>
      </c>
      <c r="J253" t="s">
        <v>4591</v>
      </c>
    </row>
    <row r="254" spans="2:10">
      <c r="B254" t="s">
        <v>291</v>
      </c>
      <c r="C254">
        <v>3</v>
      </c>
      <c r="E254">
        <v>47483.68</v>
      </c>
      <c r="G254">
        <v>0.1</v>
      </c>
      <c r="H254">
        <v>1.29</v>
      </c>
      <c r="I254" t="s">
        <v>4626</v>
      </c>
      <c r="J254" t="s">
        <v>4591</v>
      </c>
    </row>
    <row r="255" spans="2:10">
      <c r="B255" t="s">
        <v>291</v>
      </c>
      <c r="C255">
        <v>6</v>
      </c>
      <c r="E255">
        <v>47541.56</v>
      </c>
      <c r="G255">
        <v>0.1</v>
      </c>
      <c r="H255">
        <v>1.23</v>
      </c>
      <c r="I255" t="s">
        <v>4626</v>
      </c>
      <c r="J255" t="s">
        <v>4591</v>
      </c>
    </row>
    <row r="256" spans="2:10">
      <c r="B256" t="s">
        <v>291</v>
      </c>
      <c r="C256">
        <v>3</v>
      </c>
      <c r="E256">
        <v>47593.440000000002</v>
      </c>
      <c r="G256">
        <v>0.1</v>
      </c>
      <c r="H256">
        <v>1.2</v>
      </c>
      <c r="I256" t="s">
        <v>4626</v>
      </c>
      <c r="J256" t="s">
        <v>4591</v>
      </c>
    </row>
    <row r="257" spans="2:10">
      <c r="B257" t="s">
        <v>291</v>
      </c>
      <c r="C257">
        <v>4</v>
      </c>
      <c r="E257">
        <v>47689.33</v>
      </c>
      <c r="G257">
        <v>0.1</v>
      </c>
      <c r="H257">
        <v>1.4</v>
      </c>
      <c r="I257" t="s">
        <v>4626</v>
      </c>
      <c r="J257" t="s">
        <v>4591</v>
      </c>
    </row>
    <row r="258" spans="2:10">
      <c r="B258" t="s">
        <v>291</v>
      </c>
      <c r="C258">
        <v>1</v>
      </c>
      <c r="E258">
        <v>47819.94</v>
      </c>
      <c r="G258">
        <v>0.1</v>
      </c>
      <c r="I258" t="s">
        <v>4626</v>
      </c>
      <c r="J258" t="s">
        <v>4591</v>
      </c>
    </row>
    <row r="259" spans="2:10">
      <c r="B259" t="s">
        <v>291</v>
      </c>
      <c r="C259">
        <v>5</v>
      </c>
      <c r="E259">
        <v>47850.84</v>
      </c>
      <c r="G259">
        <v>0.1</v>
      </c>
      <c r="I259" t="s">
        <v>4626</v>
      </c>
      <c r="J259" t="s">
        <v>4591</v>
      </c>
    </row>
    <row r="260" spans="2:10">
      <c r="B260" t="s">
        <v>291</v>
      </c>
      <c r="C260">
        <v>4</v>
      </c>
      <c r="E260">
        <v>47968.62</v>
      </c>
      <c r="G260">
        <v>0.1</v>
      </c>
      <c r="H260">
        <v>1.23</v>
      </c>
      <c r="I260" t="s">
        <v>4626</v>
      </c>
      <c r="J260" t="s">
        <v>4591</v>
      </c>
    </row>
    <row r="261" spans="2:10">
      <c r="B261" t="s">
        <v>291</v>
      </c>
      <c r="C261">
        <v>5</v>
      </c>
      <c r="E261">
        <v>48138.38</v>
      </c>
      <c r="G261">
        <v>0.1</v>
      </c>
      <c r="H261">
        <v>1.2</v>
      </c>
      <c r="I261" t="s">
        <v>4626</v>
      </c>
      <c r="J261" t="s">
        <v>4591</v>
      </c>
    </row>
    <row r="262" spans="2:10">
      <c r="B262" t="s">
        <v>291</v>
      </c>
      <c r="C262">
        <v>3</v>
      </c>
      <c r="E262">
        <v>48170.55</v>
      </c>
      <c r="G262">
        <v>0.1</v>
      </c>
      <c r="I262" t="s">
        <v>4626</v>
      </c>
      <c r="J262" t="s">
        <v>4591</v>
      </c>
    </row>
    <row r="263" spans="2:10">
      <c r="B263" t="s">
        <v>291</v>
      </c>
      <c r="C263">
        <v>2</v>
      </c>
      <c r="E263">
        <v>48244.29</v>
      </c>
      <c r="G263">
        <v>0.1</v>
      </c>
      <c r="H263">
        <v>1.4</v>
      </c>
      <c r="I263" t="s">
        <v>4626</v>
      </c>
      <c r="J263" t="s">
        <v>4591</v>
      </c>
    </row>
    <row r="264" spans="2:10">
      <c r="B264" t="s">
        <v>291</v>
      </c>
      <c r="C264">
        <v>7</v>
      </c>
      <c r="E264">
        <v>48250.7</v>
      </c>
      <c r="G264">
        <v>0.1</v>
      </c>
      <c r="I264" t="s">
        <v>4626</v>
      </c>
      <c r="J264" t="s">
        <v>4591</v>
      </c>
    </row>
    <row r="265" spans="2:10">
      <c r="B265" t="s">
        <v>291</v>
      </c>
      <c r="C265">
        <v>0</v>
      </c>
      <c r="E265">
        <v>48264.62</v>
      </c>
      <c r="G265">
        <v>0.1</v>
      </c>
      <c r="I265" t="s">
        <v>4626</v>
      </c>
      <c r="J265" t="s">
        <v>4591</v>
      </c>
    </row>
    <row r="266" spans="2:10">
      <c r="B266" t="s">
        <v>291</v>
      </c>
      <c r="C266">
        <v>2</v>
      </c>
      <c r="E266">
        <v>48318.84</v>
      </c>
      <c r="G266">
        <v>0.1</v>
      </c>
      <c r="H266">
        <v>1.4</v>
      </c>
      <c r="I266" t="s">
        <v>4626</v>
      </c>
      <c r="J266" t="s">
        <v>4591</v>
      </c>
    </row>
    <row r="267" spans="2:10">
      <c r="B267" t="s">
        <v>291</v>
      </c>
      <c r="C267">
        <v>3</v>
      </c>
      <c r="E267">
        <v>48326.41</v>
      </c>
      <c r="G267">
        <v>0.1</v>
      </c>
      <c r="I267" t="s">
        <v>4626</v>
      </c>
      <c r="J267" t="s">
        <v>4591</v>
      </c>
    </row>
    <row r="268" spans="2:10">
      <c r="B268" t="s">
        <v>291</v>
      </c>
      <c r="C268">
        <v>1</v>
      </c>
      <c r="E268">
        <v>48389.96</v>
      </c>
      <c r="G268">
        <v>0.1</v>
      </c>
      <c r="I268" t="s">
        <v>4626</v>
      </c>
      <c r="J268" t="s">
        <v>4591</v>
      </c>
    </row>
    <row r="269" spans="2:10">
      <c r="B269" t="s">
        <v>291</v>
      </c>
      <c r="C269">
        <v>0</v>
      </c>
      <c r="E269">
        <v>48603.44</v>
      </c>
      <c r="G269">
        <v>0.1</v>
      </c>
      <c r="I269" t="s">
        <v>4626</v>
      </c>
      <c r="J269" t="s">
        <v>4591</v>
      </c>
    </row>
    <row r="270" spans="2:10">
      <c r="B270" t="s">
        <v>291</v>
      </c>
      <c r="C270">
        <v>4</v>
      </c>
      <c r="E270">
        <v>48676.08</v>
      </c>
      <c r="G270">
        <v>0.1</v>
      </c>
      <c r="H270">
        <v>1.2</v>
      </c>
      <c r="I270" t="s">
        <v>4626</v>
      </c>
      <c r="J270" t="s">
        <v>4591</v>
      </c>
    </row>
    <row r="271" spans="2:10">
      <c r="B271" t="s">
        <v>291</v>
      </c>
      <c r="C271">
        <v>6</v>
      </c>
      <c r="E271">
        <v>48684.68</v>
      </c>
      <c r="G271">
        <v>0.1</v>
      </c>
      <c r="I271" t="s">
        <v>4626</v>
      </c>
      <c r="J271" t="s">
        <v>4591</v>
      </c>
    </row>
    <row r="272" spans="2:10">
      <c r="B272" t="s">
        <v>291</v>
      </c>
      <c r="C272">
        <v>1</v>
      </c>
      <c r="E272">
        <v>48788.06</v>
      </c>
      <c r="G272">
        <v>0.1</v>
      </c>
      <c r="I272" t="s">
        <v>4626</v>
      </c>
      <c r="J272" t="s">
        <v>4591</v>
      </c>
    </row>
    <row r="273" spans="2:10">
      <c r="B273" t="s">
        <v>291</v>
      </c>
      <c r="C273">
        <v>3</v>
      </c>
      <c r="E273">
        <v>49072.14</v>
      </c>
      <c r="G273">
        <v>0.1</v>
      </c>
      <c r="H273">
        <v>1.26</v>
      </c>
      <c r="I273" t="s">
        <v>4626</v>
      </c>
      <c r="J273" t="s">
        <v>4591</v>
      </c>
    </row>
    <row r="274" spans="2:10">
      <c r="B274" t="s">
        <v>291</v>
      </c>
      <c r="C274">
        <v>5</v>
      </c>
      <c r="E274">
        <v>49073.88</v>
      </c>
      <c r="G274">
        <v>0.1</v>
      </c>
      <c r="I274" t="s">
        <v>4626</v>
      </c>
      <c r="J274" t="s">
        <v>4591</v>
      </c>
    </row>
    <row r="275" spans="2:10">
      <c r="B275" t="s">
        <v>291</v>
      </c>
      <c r="C275">
        <v>4</v>
      </c>
      <c r="E275">
        <v>49147.95</v>
      </c>
      <c r="G275">
        <v>0.1</v>
      </c>
      <c r="I275" t="s">
        <v>4626</v>
      </c>
      <c r="J275" t="s">
        <v>4591</v>
      </c>
    </row>
    <row r="276" spans="2:10">
      <c r="B276" t="s">
        <v>291</v>
      </c>
      <c r="C276">
        <v>2</v>
      </c>
      <c r="E276">
        <v>49151.94</v>
      </c>
      <c r="G276">
        <v>0.1</v>
      </c>
      <c r="I276" t="s">
        <v>4626</v>
      </c>
      <c r="J276" t="s">
        <v>4591</v>
      </c>
    </row>
    <row r="277" spans="2:10">
      <c r="B277" t="s">
        <v>291</v>
      </c>
      <c r="C277">
        <v>5</v>
      </c>
      <c r="E277">
        <v>49187.92</v>
      </c>
      <c r="G277">
        <v>0.1</v>
      </c>
      <c r="H277">
        <v>1.25</v>
      </c>
      <c r="I277" t="s">
        <v>4626</v>
      </c>
      <c r="J277" t="s">
        <v>4591</v>
      </c>
    </row>
    <row r="278" spans="2:10">
      <c r="B278" t="s">
        <v>291</v>
      </c>
      <c r="C278">
        <v>2</v>
      </c>
      <c r="E278">
        <v>49270.16</v>
      </c>
      <c r="G278">
        <v>0.1</v>
      </c>
      <c r="I278" t="s">
        <v>4626</v>
      </c>
      <c r="J278" t="s">
        <v>4591</v>
      </c>
    </row>
    <row r="279" spans="2:10">
      <c r="B279" t="s">
        <v>291</v>
      </c>
      <c r="C279">
        <v>3</v>
      </c>
      <c r="E279">
        <v>49417.9</v>
      </c>
      <c r="G279">
        <v>0.1</v>
      </c>
      <c r="I279" t="s">
        <v>4626</v>
      </c>
      <c r="J279" t="s">
        <v>4591</v>
      </c>
    </row>
    <row r="280" spans="2:10">
      <c r="B280" t="s">
        <v>291</v>
      </c>
      <c r="C280">
        <v>1</v>
      </c>
      <c r="E280">
        <v>49443.7</v>
      </c>
      <c r="G280">
        <v>0.1</v>
      </c>
      <c r="I280" t="s">
        <v>4626</v>
      </c>
      <c r="J280" t="s">
        <v>4591</v>
      </c>
    </row>
    <row r="281" spans="2:10">
      <c r="B281" t="s">
        <v>291</v>
      </c>
      <c r="C281">
        <v>3</v>
      </c>
      <c r="E281">
        <v>49514.34</v>
      </c>
      <c r="G281">
        <v>0.1</v>
      </c>
      <c r="H281">
        <v>1.3</v>
      </c>
      <c r="I281" t="s">
        <v>4626</v>
      </c>
      <c r="J281" t="s">
        <v>4591</v>
      </c>
    </row>
    <row r="282" spans="2:10">
      <c r="B282" t="s">
        <v>291</v>
      </c>
      <c r="C282">
        <v>2</v>
      </c>
      <c r="E282">
        <v>49517.26</v>
      </c>
      <c r="G282">
        <v>0.1</v>
      </c>
      <c r="I282" t="s">
        <v>4626</v>
      </c>
      <c r="J282" t="s">
        <v>4591</v>
      </c>
    </row>
    <row r="283" spans="2:10">
      <c r="B283" t="s">
        <v>291</v>
      </c>
      <c r="C283">
        <v>4</v>
      </c>
      <c r="E283">
        <v>49636.52</v>
      </c>
      <c r="G283">
        <v>0.1</v>
      </c>
      <c r="I283" t="s">
        <v>4626</v>
      </c>
      <c r="J283" t="s">
        <v>4591</v>
      </c>
    </row>
    <row r="284" spans="2:10">
      <c r="B284" t="s">
        <v>291</v>
      </c>
      <c r="C284">
        <v>2</v>
      </c>
      <c r="E284">
        <v>49699.56</v>
      </c>
      <c r="G284">
        <v>0.1</v>
      </c>
      <c r="H284">
        <v>1.9</v>
      </c>
      <c r="I284" t="s">
        <v>4626</v>
      </c>
      <c r="J284" t="s">
        <v>4591</v>
      </c>
    </row>
    <row r="285" spans="2:10">
      <c r="B285" t="s">
        <v>291</v>
      </c>
      <c r="C285">
        <v>4</v>
      </c>
      <c r="E285">
        <v>49788.58</v>
      </c>
      <c r="G285">
        <v>0.1</v>
      </c>
      <c r="I285" t="s">
        <v>4626</v>
      </c>
      <c r="J285" t="s">
        <v>4591</v>
      </c>
    </row>
    <row r="286" spans="2:10">
      <c r="B286" t="s">
        <v>291</v>
      </c>
      <c r="C286">
        <v>0</v>
      </c>
      <c r="E286">
        <v>49798.48</v>
      </c>
      <c r="G286">
        <v>0.1</v>
      </c>
      <c r="I286" t="s">
        <v>4626</v>
      </c>
      <c r="J286" t="s">
        <v>4591</v>
      </c>
    </row>
    <row r="287" spans="2:10">
      <c r="B287" t="s">
        <v>291</v>
      </c>
      <c r="C287">
        <v>3</v>
      </c>
      <c r="E287">
        <v>49966.03</v>
      </c>
      <c r="G287">
        <v>0.1</v>
      </c>
      <c r="I287" t="s">
        <v>4626</v>
      </c>
      <c r="J287" t="s">
        <v>4591</v>
      </c>
    </row>
    <row r="288" spans="2:10">
      <c r="B288" t="s">
        <v>291</v>
      </c>
      <c r="C288">
        <v>5</v>
      </c>
      <c r="E288">
        <v>50137.55</v>
      </c>
      <c r="G288">
        <v>0.1</v>
      </c>
      <c r="H288">
        <v>1.1100000000000001</v>
      </c>
      <c r="I288" t="s">
        <v>4626</v>
      </c>
      <c r="J288" t="s">
        <v>4591</v>
      </c>
    </row>
    <row r="289" spans="2:10">
      <c r="B289" t="s">
        <v>291</v>
      </c>
      <c r="C289">
        <v>3</v>
      </c>
      <c r="E289">
        <v>50185.7</v>
      </c>
      <c r="G289">
        <v>0.1</v>
      </c>
      <c r="I289" t="s">
        <v>4626</v>
      </c>
      <c r="J289" t="s">
        <v>4591</v>
      </c>
    </row>
    <row r="290" spans="2:10">
      <c r="B290" t="s">
        <v>291</v>
      </c>
      <c r="C290">
        <v>4</v>
      </c>
      <c r="E290">
        <v>50284.639999999999</v>
      </c>
      <c r="G290">
        <v>0.1</v>
      </c>
      <c r="H290">
        <v>1.03</v>
      </c>
      <c r="I290" t="s">
        <v>4626</v>
      </c>
      <c r="J290" t="s">
        <v>4591</v>
      </c>
    </row>
    <row r="291" spans="2:10">
      <c r="B291" t="s">
        <v>291</v>
      </c>
      <c r="C291">
        <v>3</v>
      </c>
      <c r="E291">
        <v>50303.78</v>
      </c>
      <c r="G291">
        <v>0.1</v>
      </c>
      <c r="I291" t="s">
        <v>4626</v>
      </c>
      <c r="J291" t="s">
        <v>4591</v>
      </c>
    </row>
    <row r="292" spans="2:10">
      <c r="B292" t="s">
        <v>291</v>
      </c>
      <c r="C292">
        <v>6</v>
      </c>
      <c r="E292">
        <v>50429.18</v>
      </c>
      <c r="G292">
        <v>0.1</v>
      </c>
      <c r="I292" t="s">
        <v>4626</v>
      </c>
      <c r="J292" t="s">
        <v>4591</v>
      </c>
    </row>
    <row r="293" spans="2:10">
      <c r="B293" t="s">
        <v>291</v>
      </c>
      <c r="C293">
        <v>2</v>
      </c>
      <c r="E293">
        <v>50494.54</v>
      </c>
      <c r="G293">
        <v>0.1</v>
      </c>
      <c r="I293" t="s">
        <v>4626</v>
      </c>
      <c r="J293" t="s">
        <v>4591</v>
      </c>
    </row>
    <row r="294" spans="2:10">
      <c r="C294">
        <v>2</v>
      </c>
      <c r="E294">
        <v>50525.35</v>
      </c>
      <c r="G294">
        <v>0.1</v>
      </c>
      <c r="I294" t="s">
        <v>4626</v>
      </c>
      <c r="J294" t="s">
        <v>4591</v>
      </c>
    </row>
    <row r="295" spans="2:10">
      <c r="B295" t="s">
        <v>291</v>
      </c>
      <c r="C295">
        <v>1</v>
      </c>
      <c r="E295">
        <v>50533.55</v>
      </c>
      <c r="G295">
        <v>0.1</v>
      </c>
      <c r="I295" t="s">
        <v>4626</v>
      </c>
      <c r="J295" t="s">
        <v>4591</v>
      </c>
    </row>
    <row r="296" spans="2:10">
      <c r="B296" t="s">
        <v>291</v>
      </c>
      <c r="C296">
        <v>2</v>
      </c>
      <c r="E296">
        <v>50718.9</v>
      </c>
      <c r="G296">
        <v>0.1</v>
      </c>
      <c r="I296" t="s">
        <v>4626</v>
      </c>
      <c r="J296" t="s">
        <v>4591</v>
      </c>
    </row>
    <row r="297" spans="2:10">
      <c r="B297" t="s">
        <v>291</v>
      </c>
      <c r="C297">
        <v>3</v>
      </c>
      <c r="E297">
        <v>50800.44</v>
      </c>
      <c r="G297">
        <v>0.1</v>
      </c>
      <c r="H297">
        <v>1</v>
      </c>
      <c r="I297" t="s">
        <v>4626</v>
      </c>
      <c r="J297" t="s">
        <v>4591</v>
      </c>
    </row>
    <row r="298" spans="2:10">
      <c r="B298" t="s">
        <v>291</v>
      </c>
      <c r="C298">
        <v>5</v>
      </c>
      <c r="E298">
        <v>50806.07</v>
      </c>
      <c r="G298">
        <v>0.1</v>
      </c>
      <c r="I298" t="s">
        <v>4626</v>
      </c>
      <c r="J298" t="s">
        <v>4591</v>
      </c>
    </row>
    <row r="299" spans="2:10">
      <c r="B299" t="s">
        <v>291</v>
      </c>
      <c r="C299">
        <v>3</v>
      </c>
      <c r="E299">
        <v>50894.12</v>
      </c>
      <c r="G299">
        <v>0.1</v>
      </c>
      <c r="I299" t="s">
        <v>4626</v>
      </c>
      <c r="J299" t="s">
        <v>4591</v>
      </c>
    </row>
    <row r="300" spans="2:10">
      <c r="C300">
        <v>1</v>
      </c>
      <c r="E300">
        <v>50906.2</v>
      </c>
      <c r="G300">
        <v>0.1</v>
      </c>
      <c r="I300" t="s">
        <v>4626</v>
      </c>
      <c r="J300" t="s">
        <v>4591</v>
      </c>
    </row>
    <row r="301" spans="2:10">
      <c r="B301" t="s">
        <v>291</v>
      </c>
      <c r="C301">
        <v>4</v>
      </c>
      <c r="E301">
        <v>50909.47</v>
      </c>
      <c r="G301">
        <v>0.1</v>
      </c>
      <c r="H301">
        <v>1.2</v>
      </c>
      <c r="I301" t="s">
        <v>4626</v>
      </c>
      <c r="J301" t="s">
        <v>4591</v>
      </c>
    </row>
    <row r="302" spans="2:10">
      <c r="C302">
        <v>1</v>
      </c>
      <c r="E302">
        <v>50949.07</v>
      </c>
      <c r="G302">
        <v>0.1</v>
      </c>
      <c r="I302" t="s">
        <v>4626</v>
      </c>
      <c r="J302" t="s">
        <v>4591</v>
      </c>
    </row>
    <row r="303" spans="2:10">
      <c r="B303" t="s">
        <v>291</v>
      </c>
      <c r="C303">
        <v>6</v>
      </c>
      <c r="E303">
        <v>50951.86</v>
      </c>
      <c r="G303">
        <v>0.1</v>
      </c>
      <c r="I303" t="s">
        <v>4626</v>
      </c>
      <c r="J303" t="s">
        <v>4591</v>
      </c>
    </row>
    <row r="304" spans="2:10">
      <c r="B304" t="s">
        <v>291</v>
      </c>
      <c r="C304">
        <v>3</v>
      </c>
      <c r="E304">
        <v>51072.18</v>
      </c>
      <c r="G304">
        <v>0.1</v>
      </c>
      <c r="I304" t="s">
        <v>4626</v>
      </c>
      <c r="J304" t="s">
        <v>4591</v>
      </c>
    </row>
    <row r="305" spans="2:10">
      <c r="B305" t="s">
        <v>291</v>
      </c>
      <c r="C305">
        <v>2</v>
      </c>
      <c r="E305">
        <v>51182.38</v>
      </c>
      <c r="G305">
        <v>0.1</v>
      </c>
      <c r="I305" t="s">
        <v>4626</v>
      </c>
      <c r="J305" t="s">
        <v>4591</v>
      </c>
    </row>
    <row r="306" spans="2:10">
      <c r="B306" t="s">
        <v>291</v>
      </c>
      <c r="C306">
        <v>1</v>
      </c>
      <c r="E306">
        <v>51260.68</v>
      </c>
      <c r="G306">
        <v>0.1</v>
      </c>
      <c r="I306" t="s">
        <v>4626</v>
      </c>
      <c r="J306" t="s">
        <v>4591</v>
      </c>
    </row>
    <row r="307" spans="2:10">
      <c r="C307">
        <v>0</v>
      </c>
      <c r="E307">
        <v>51285.46</v>
      </c>
      <c r="G307">
        <v>0.1</v>
      </c>
      <c r="I307" t="s">
        <v>4626</v>
      </c>
      <c r="J307" t="s">
        <v>4591</v>
      </c>
    </row>
    <row r="308" spans="2:10">
      <c r="B308" t="s">
        <v>291</v>
      </c>
      <c r="C308">
        <v>5</v>
      </c>
      <c r="E308">
        <v>51290.73</v>
      </c>
      <c r="G308">
        <v>0.1</v>
      </c>
      <c r="I308" t="s">
        <v>4626</v>
      </c>
      <c r="J308" t="s">
        <v>4591</v>
      </c>
    </row>
    <row r="309" spans="2:10">
      <c r="B309" t="s">
        <v>291</v>
      </c>
      <c r="C309">
        <v>7</v>
      </c>
      <c r="E309">
        <v>51296.92</v>
      </c>
      <c r="G309">
        <v>0.1</v>
      </c>
      <c r="I309" t="s">
        <v>4626</v>
      </c>
      <c r="J309" t="s">
        <v>4591</v>
      </c>
    </row>
    <row r="310" spans="2:10">
      <c r="B310" t="s">
        <v>291</v>
      </c>
      <c r="C310">
        <v>4</v>
      </c>
      <c r="E310">
        <v>51473.04</v>
      </c>
      <c r="G310">
        <v>0.1</v>
      </c>
      <c r="I310" t="s">
        <v>4626</v>
      </c>
      <c r="J310" t="s">
        <v>4591</v>
      </c>
    </row>
    <row r="311" spans="2:10">
      <c r="B311" t="s">
        <v>291</v>
      </c>
      <c r="C311">
        <v>3</v>
      </c>
      <c r="E311">
        <v>51600.52</v>
      </c>
      <c r="G311">
        <v>0.1</v>
      </c>
      <c r="I311" t="s">
        <v>4626</v>
      </c>
      <c r="J311" t="s">
        <v>4591</v>
      </c>
    </row>
    <row r="312" spans="2:10">
      <c r="B312" t="s">
        <v>291</v>
      </c>
      <c r="C312">
        <v>2</v>
      </c>
      <c r="E312">
        <v>51606.78</v>
      </c>
      <c r="G312">
        <v>0.1</v>
      </c>
      <c r="I312" t="s">
        <v>4626</v>
      </c>
      <c r="J312" t="s">
        <v>4591</v>
      </c>
    </row>
    <row r="313" spans="2:10">
      <c r="B313" t="s">
        <v>291</v>
      </c>
      <c r="C313">
        <v>2</v>
      </c>
      <c r="E313">
        <v>51693.85</v>
      </c>
      <c r="G313">
        <v>0.1</v>
      </c>
      <c r="I313" t="s">
        <v>4626</v>
      </c>
      <c r="J313" t="s">
        <v>4591</v>
      </c>
    </row>
    <row r="314" spans="2:10">
      <c r="B314" t="s">
        <v>291</v>
      </c>
      <c r="C314">
        <v>1</v>
      </c>
      <c r="E314">
        <v>51763.44</v>
      </c>
      <c r="G314">
        <v>0.1</v>
      </c>
      <c r="I314" t="s">
        <v>4626</v>
      </c>
      <c r="J314" t="s">
        <v>4591</v>
      </c>
    </row>
    <row r="315" spans="2:10">
      <c r="B315" t="s">
        <v>291</v>
      </c>
      <c r="C315">
        <v>4</v>
      </c>
      <c r="E315">
        <v>51856.1</v>
      </c>
      <c r="G315">
        <v>0.1</v>
      </c>
      <c r="I315" t="s">
        <v>4626</v>
      </c>
      <c r="J315" t="s">
        <v>4591</v>
      </c>
    </row>
    <row r="316" spans="2:10">
      <c r="C316">
        <v>2</v>
      </c>
      <c r="E316">
        <v>51936.84</v>
      </c>
      <c r="G316">
        <v>0.1</v>
      </c>
      <c r="I316" t="s">
        <v>4626</v>
      </c>
      <c r="J316" t="s">
        <v>4591</v>
      </c>
    </row>
    <row r="317" spans="2:10">
      <c r="B317" t="s">
        <v>291</v>
      </c>
      <c r="C317">
        <v>6</v>
      </c>
      <c r="E317">
        <v>51978.68</v>
      </c>
      <c r="G317">
        <v>0.1</v>
      </c>
      <c r="I317" t="s">
        <v>4626</v>
      </c>
      <c r="J317" t="s">
        <v>4591</v>
      </c>
    </row>
    <row r="318" spans="2:10">
      <c r="C318">
        <v>3</v>
      </c>
      <c r="E318">
        <v>52002.25</v>
      </c>
      <c r="G318">
        <v>0.1</v>
      </c>
      <c r="I318" t="s">
        <v>4626</v>
      </c>
      <c r="J318" t="s">
        <v>4591</v>
      </c>
    </row>
    <row r="319" spans="2:10">
      <c r="B319" t="s">
        <v>291</v>
      </c>
      <c r="C319">
        <v>3</v>
      </c>
      <c r="E319">
        <v>52015.28</v>
      </c>
      <c r="G319">
        <v>0.1</v>
      </c>
      <c r="I319" t="s">
        <v>4626</v>
      </c>
      <c r="J319" t="s">
        <v>4591</v>
      </c>
    </row>
    <row r="320" spans="2:10">
      <c r="C320">
        <v>1</v>
      </c>
      <c r="E320">
        <v>52057.8</v>
      </c>
      <c r="G320">
        <v>0.1</v>
      </c>
      <c r="I320" t="s">
        <v>4626</v>
      </c>
      <c r="J320" t="s">
        <v>4591</v>
      </c>
    </row>
    <row r="321" spans="2:10">
      <c r="B321" t="s">
        <v>291</v>
      </c>
      <c r="C321">
        <v>4</v>
      </c>
      <c r="E321">
        <v>52059.78</v>
      </c>
      <c r="G321">
        <v>0.1</v>
      </c>
      <c r="I321" t="s">
        <v>4626</v>
      </c>
      <c r="J321" t="s">
        <v>4591</v>
      </c>
    </row>
    <row r="322" spans="2:10">
      <c r="B322" t="s">
        <v>291</v>
      </c>
      <c r="C322">
        <v>2</v>
      </c>
      <c r="E322">
        <v>52064.08</v>
      </c>
      <c r="G322">
        <v>0.1</v>
      </c>
      <c r="I322" t="s">
        <v>4626</v>
      </c>
      <c r="J322" t="s">
        <v>4591</v>
      </c>
    </row>
    <row r="323" spans="2:10">
      <c r="B323" t="s">
        <v>291</v>
      </c>
      <c r="C323">
        <v>5</v>
      </c>
      <c r="E323">
        <v>52081.09</v>
      </c>
      <c r="G323">
        <v>0.1</v>
      </c>
      <c r="I323" t="s">
        <v>4626</v>
      </c>
      <c r="J323" t="s">
        <v>4591</v>
      </c>
    </row>
    <row r="324" spans="2:10">
      <c r="B324" t="s">
        <v>291</v>
      </c>
      <c r="C324">
        <v>2</v>
      </c>
      <c r="E324">
        <v>52152.62</v>
      </c>
      <c r="G324">
        <v>0.1</v>
      </c>
      <c r="I324" t="s">
        <v>4626</v>
      </c>
      <c r="J324" t="s">
        <v>4591</v>
      </c>
    </row>
    <row r="325" spans="2:10">
      <c r="C325">
        <v>2</v>
      </c>
      <c r="E325">
        <v>52183.199999999997</v>
      </c>
      <c r="G325">
        <v>0.1</v>
      </c>
      <c r="I325" t="s">
        <v>4626</v>
      </c>
      <c r="J325" t="s">
        <v>4591</v>
      </c>
    </row>
    <row r="326" spans="2:10">
      <c r="B326" t="s">
        <v>291</v>
      </c>
      <c r="C326">
        <v>0</v>
      </c>
      <c r="E326">
        <v>52233.1</v>
      </c>
      <c r="G326">
        <v>0.1</v>
      </c>
      <c r="I326" t="s">
        <v>4626</v>
      </c>
      <c r="J326" t="s">
        <v>4591</v>
      </c>
    </row>
    <row r="327" spans="2:10">
      <c r="B327" t="s">
        <v>291</v>
      </c>
      <c r="C327">
        <v>3</v>
      </c>
      <c r="E327">
        <v>52255.8</v>
      </c>
      <c r="G327">
        <v>0.1</v>
      </c>
      <c r="I327" t="s">
        <v>4626</v>
      </c>
      <c r="J327" t="s">
        <v>4591</v>
      </c>
    </row>
    <row r="328" spans="2:10">
      <c r="C328">
        <v>3</v>
      </c>
      <c r="E328">
        <v>52284.76</v>
      </c>
      <c r="G328">
        <v>0.1</v>
      </c>
      <c r="I328" t="s">
        <v>4626</v>
      </c>
      <c r="J328" t="s">
        <v>4591</v>
      </c>
    </row>
    <row r="329" spans="2:10">
      <c r="C329">
        <v>4</v>
      </c>
      <c r="E329">
        <v>52378.22</v>
      </c>
      <c r="G329">
        <v>0.1</v>
      </c>
      <c r="I329" t="s">
        <v>4626</v>
      </c>
      <c r="J329" t="s">
        <v>4591</v>
      </c>
    </row>
    <row r="330" spans="2:10">
      <c r="B330" t="s">
        <v>291</v>
      </c>
      <c r="C330">
        <v>5</v>
      </c>
      <c r="E330">
        <v>52395.5</v>
      </c>
      <c r="G330">
        <v>0.1</v>
      </c>
      <c r="I330" t="s">
        <v>4626</v>
      </c>
      <c r="J330" t="s">
        <v>4591</v>
      </c>
    </row>
    <row r="331" spans="2:10">
      <c r="B331" t="s">
        <v>291</v>
      </c>
      <c r="C331">
        <v>4</v>
      </c>
      <c r="E331">
        <v>52436.44</v>
      </c>
      <c r="G331">
        <v>0.1</v>
      </c>
      <c r="I331" t="s">
        <v>4626</v>
      </c>
      <c r="J331" t="s">
        <v>4591</v>
      </c>
    </row>
    <row r="332" spans="2:10">
      <c r="B332" t="s">
        <v>291</v>
      </c>
      <c r="C332">
        <v>1</v>
      </c>
      <c r="E332">
        <v>52477.57</v>
      </c>
      <c r="G332">
        <v>0.1</v>
      </c>
      <c r="I332" t="s">
        <v>4626</v>
      </c>
      <c r="J332" t="s">
        <v>4591</v>
      </c>
    </row>
    <row r="333" spans="2:10">
      <c r="B333" t="s">
        <v>291</v>
      </c>
      <c r="C333">
        <v>2</v>
      </c>
      <c r="E333">
        <v>52503.41</v>
      </c>
      <c r="G333">
        <v>0.1</v>
      </c>
      <c r="I333" t="s">
        <v>4626</v>
      </c>
      <c r="J333" t="s">
        <v>4591</v>
      </c>
    </row>
    <row r="334" spans="2:10">
      <c r="B334" t="s">
        <v>291</v>
      </c>
      <c r="C334">
        <v>2</v>
      </c>
      <c r="E334">
        <v>52653.58</v>
      </c>
      <c r="G334">
        <v>0.1</v>
      </c>
      <c r="I334" t="s">
        <v>4626</v>
      </c>
      <c r="J334" t="s">
        <v>4591</v>
      </c>
    </row>
    <row r="335" spans="2:10">
      <c r="B335" t="s">
        <v>291</v>
      </c>
      <c r="C335">
        <v>5</v>
      </c>
      <c r="E335">
        <v>52774.1</v>
      </c>
      <c r="G335">
        <v>0.1</v>
      </c>
      <c r="I335" t="s">
        <v>4626</v>
      </c>
      <c r="J335" t="s">
        <v>4591</v>
      </c>
    </row>
    <row r="336" spans="2:10">
      <c r="B336" t="s">
        <v>291</v>
      </c>
      <c r="C336">
        <v>3</v>
      </c>
      <c r="E336">
        <v>52806.559999999998</v>
      </c>
      <c r="G336">
        <v>0.1</v>
      </c>
      <c r="I336" t="s">
        <v>4626</v>
      </c>
      <c r="J336" t="s">
        <v>4591</v>
      </c>
    </row>
    <row r="337" spans="2:10">
      <c r="B337" t="s">
        <v>291</v>
      </c>
      <c r="C337">
        <v>6</v>
      </c>
      <c r="E337">
        <v>52855.98</v>
      </c>
      <c r="G337">
        <v>0.1</v>
      </c>
      <c r="I337" t="s">
        <v>4626</v>
      </c>
      <c r="J337" t="s">
        <v>4591</v>
      </c>
    </row>
    <row r="338" spans="2:10">
      <c r="B338" t="s">
        <v>291</v>
      </c>
      <c r="C338">
        <v>2</v>
      </c>
      <c r="E338">
        <v>52885.5</v>
      </c>
      <c r="G338">
        <v>0.1</v>
      </c>
      <c r="I338" t="s">
        <v>4626</v>
      </c>
      <c r="J338" t="s">
        <v>4591</v>
      </c>
    </row>
    <row r="339" spans="2:10">
      <c r="B339" t="s">
        <v>291</v>
      </c>
      <c r="C339">
        <v>3</v>
      </c>
      <c r="E339">
        <v>52943.48</v>
      </c>
      <c r="G339">
        <v>0.1</v>
      </c>
      <c r="I339" t="s">
        <v>4626</v>
      </c>
      <c r="J339" t="s">
        <v>4591</v>
      </c>
    </row>
    <row r="340" spans="2:10">
      <c r="C340">
        <v>1</v>
      </c>
      <c r="E340">
        <v>52956.92</v>
      </c>
      <c r="G340">
        <v>0.1</v>
      </c>
      <c r="I340" t="s">
        <v>4626</v>
      </c>
      <c r="J340" t="s">
        <v>4591</v>
      </c>
    </row>
    <row r="341" spans="2:10">
      <c r="B341" t="s">
        <v>291</v>
      </c>
      <c r="C341">
        <v>4</v>
      </c>
      <c r="E341">
        <v>52992.69</v>
      </c>
      <c r="G341">
        <v>0.1</v>
      </c>
      <c r="I341" t="s">
        <v>4626</v>
      </c>
      <c r="J341" t="s">
        <v>4591</v>
      </c>
    </row>
    <row r="342" spans="2:10">
      <c r="B342" t="s">
        <v>291</v>
      </c>
      <c r="C342">
        <v>2</v>
      </c>
      <c r="E342">
        <v>53003.72</v>
      </c>
      <c r="G342">
        <v>0.1</v>
      </c>
      <c r="I342" t="s">
        <v>4626</v>
      </c>
      <c r="J342" t="s">
        <v>4591</v>
      </c>
    </row>
    <row r="343" spans="2:10">
      <c r="B343" t="s">
        <v>291</v>
      </c>
      <c r="C343">
        <v>1</v>
      </c>
      <c r="E343">
        <v>53042</v>
      </c>
      <c r="G343">
        <v>0.1</v>
      </c>
      <c r="I343" t="s">
        <v>4626</v>
      </c>
      <c r="J343" t="s">
        <v>4591</v>
      </c>
    </row>
    <row r="344" spans="2:10">
      <c r="B344" t="s">
        <v>291</v>
      </c>
      <c r="C344">
        <v>4</v>
      </c>
      <c r="E344">
        <v>53118.29</v>
      </c>
      <c r="G344">
        <v>0.1</v>
      </c>
      <c r="I344" t="s">
        <v>4626</v>
      </c>
      <c r="J344" t="s">
        <v>4591</v>
      </c>
    </row>
    <row r="345" spans="2:10">
      <c r="B345" t="s">
        <v>291</v>
      </c>
      <c r="C345">
        <v>5</v>
      </c>
      <c r="E345">
        <v>53194.25</v>
      </c>
      <c r="G345">
        <v>0.1</v>
      </c>
      <c r="H345">
        <v>1.3</v>
      </c>
      <c r="I345" t="s">
        <v>4626</v>
      </c>
      <c r="J345" t="s">
        <v>4591</v>
      </c>
    </row>
    <row r="346" spans="2:10">
      <c r="B346" t="s">
        <v>291</v>
      </c>
      <c r="C346">
        <v>1</v>
      </c>
      <c r="E346">
        <v>53227.03</v>
      </c>
      <c r="G346">
        <v>0.1</v>
      </c>
      <c r="I346" t="s">
        <v>4626</v>
      </c>
      <c r="J346" t="s">
        <v>4591</v>
      </c>
    </row>
    <row r="347" spans="2:10">
      <c r="B347" t="s">
        <v>291</v>
      </c>
      <c r="C347">
        <v>6</v>
      </c>
      <c r="E347">
        <v>53228.42</v>
      </c>
      <c r="G347">
        <v>0.1</v>
      </c>
      <c r="I347" t="s">
        <v>4626</v>
      </c>
      <c r="J347" t="s">
        <v>4591</v>
      </c>
    </row>
    <row r="348" spans="2:10">
      <c r="B348" t="s">
        <v>291</v>
      </c>
      <c r="C348">
        <v>4</v>
      </c>
      <c r="E348">
        <v>53238.41</v>
      </c>
      <c r="G348">
        <v>0.1</v>
      </c>
      <c r="I348" t="s">
        <v>4626</v>
      </c>
      <c r="J348" t="s">
        <v>4591</v>
      </c>
    </row>
    <row r="349" spans="2:10">
      <c r="B349" t="s">
        <v>291</v>
      </c>
      <c r="C349">
        <v>2</v>
      </c>
      <c r="E349">
        <v>53284.92</v>
      </c>
      <c r="G349">
        <v>0.1</v>
      </c>
      <c r="I349" t="s">
        <v>4626</v>
      </c>
      <c r="J349" t="s">
        <v>4591</v>
      </c>
    </row>
    <row r="350" spans="2:10">
      <c r="B350" t="s">
        <v>291</v>
      </c>
      <c r="C350">
        <v>3</v>
      </c>
      <c r="E350">
        <v>53345.52</v>
      </c>
      <c r="G350">
        <v>0.1</v>
      </c>
      <c r="I350" t="s">
        <v>4626</v>
      </c>
      <c r="J350" t="s">
        <v>4591</v>
      </c>
    </row>
    <row r="351" spans="2:10">
      <c r="B351" t="s">
        <v>291</v>
      </c>
      <c r="C351">
        <v>3</v>
      </c>
      <c r="E351">
        <v>53390.42</v>
      </c>
      <c r="G351">
        <v>0.1</v>
      </c>
      <c r="I351" t="s">
        <v>4626</v>
      </c>
      <c r="J351" t="s">
        <v>4591</v>
      </c>
    </row>
    <row r="352" spans="2:10">
      <c r="B352" t="s">
        <v>291</v>
      </c>
      <c r="C352">
        <v>2</v>
      </c>
      <c r="E352">
        <v>53669.36</v>
      </c>
      <c r="G352">
        <v>0.1</v>
      </c>
      <c r="I352" t="s">
        <v>4626</v>
      </c>
      <c r="J352" t="s">
        <v>4591</v>
      </c>
    </row>
    <row r="353" spans="2:10">
      <c r="C353">
        <v>4</v>
      </c>
      <c r="E353">
        <v>53786</v>
      </c>
      <c r="G353">
        <v>0.1</v>
      </c>
      <c r="I353" t="s">
        <v>4626</v>
      </c>
      <c r="J353" t="s">
        <v>4591</v>
      </c>
    </row>
    <row r="354" spans="2:10">
      <c r="B354" t="s">
        <v>291</v>
      </c>
      <c r="C354">
        <v>4</v>
      </c>
      <c r="E354">
        <v>53848.63</v>
      </c>
      <c r="G354">
        <v>0.1</v>
      </c>
      <c r="I354" t="s">
        <v>4626</v>
      </c>
      <c r="J354" t="s">
        <v>4591</v>
      </c>
    </row>
    <row r="355" spans="2:10">
      <c r="B355" t="s">
        <v>291</v>
      </c>
      <c r="C355">
        <v>5</v>
      </c>
      <c r="E355">
        <v>53862.720000000001</v>
      </c>
      <c r="G355">
        <v>0.1</v>
      </c>
      <c r="I355" t="s">
        <v>4626</v>
      </c>
      <c r="J355" t="s">
        <v>4591</v>
      </c>
    </row>
    <row r="356" spans="2:10">
      <c r="B356" t="s">
        <v>291</v>
      </c>
      <c r="C356">
        <v>1</v>
      </c>
      <c r="E356">
        <v>53875.26</v>
      </c>
      <c r="G356">
        <v>0.1</v>
      </c>
      <c r="I356" t="s">
        <v>4626</v>
      </c>
      <c r="J356" t="s">
        <v>4591</v>
      </c>
    </row>
    <row r="357" spans="2:10">
      <c r="B357" t="s">
        <v>291</v>
      </c>
      <c r="C357">
        <v>2</v>
      </c>
      <c r="E357">
        <v>53912.55</v>
      </c>
      <c r="G357">
        <v>0.1</v>
      </c>
      <c r="I357" t="s">
        <v>4626</v>
      </c>
      <c r="J357" t="s">
        <v>4591</v>
      </c>
    </row>
    <row r="358" spans="2:10">
      <c r="C358">
        <v>3</v>
      </c>
      <c r="E358">
        <v>53916.9</v>
      </c>
      <c r="G358">
        <v>0.1</v>
      </c>
      <c r="I358" t="s">
        <v>4626</v>
      </c>
      <c r="J358" t="s">
        <v>4591</v>
      </c>
    </row>
    <row r="359" spans="2:10">
      <c r="B359" t="s">
        <v>291</v>
      </c>
      <c r="C359">
        <v>2</v>
      </c>
      <c r="E359">
        <v>53959.28</v>
      </c>
      <c r="G359">
        <v>0.1</v>
      </c>
      <c r="I359" t="s">
        <v>4626</v>
      </c>
      <c r="J359" t="s">
        <v>4591</v>
      </c>
    </row>
    <row r="360" spans="2:10">
      <c r="C360">
        <v>5</v>
      </c>
      <c r="E360">
        <v>53974.1</v>
      </c>
      <c r="G360">
        <v>0.1</v>
      </c>
      <c r="I360" t="s">
        <v>4626</v>
      </c>
      <c r="J360" t="s">
        <v>4591</v>
      </c>
    </row>
    <row r="361" spans="2:10">
      <c r="B361" t="s">
        <v>291</v>
      </c>
      <c r="C361">
        <v>3</v>
      </c>
      <c r="E361">
        <v>54117.36</v>
      </c>
      <c r="G361">
        <v>0.1</v>
      </c>
      <c r="I361" t="s">
        <v>4626</v>
      </c>
      <c r="J361" t="s">
        <v>4591</v>
      </c>
    </row>
    <row r="362" spans="2:10">
      <c r="B362" t="s">
        <v>291</v>
      </c>
      <c r="C362">
        <v>4</v>
      </c>
      <c r="E362">
        <v>54118.78</v>
      </c>
      <c r="G362">
        <v>0.1</v>
      </c>
      <c r="I362" t="s">
        <v>4626</v>
      </c>
      <c r="J362" t="s">
        <v>4591</v>
      </c>
    </row>
    <row r="363" spans="2:10">
      <c r="B363" t="s">
        <v>291</v>
      </c>
      <c r="C363">
        <v>3</v>
      </c>
      <c r="E363">
        <v>54269.77</v>
      </c>
      <c r="G363">
        <v>0.1</v>
      </c>
      <c r="I363" t="s">
        <v>4626</v>
      </c>
      <c r="J363" t="s">
        <v>4591</v>
      </c>
    </row>
    <row r="364" spans="2:10">
      <c r="B364" t="s">
        <v>291</v>
      </c>
      <c r="C364">
        <v>0</v>
      </c>
      <c r="E364">
        <v>54295.64</v>
      </c>
      <c r="G364">
        <v>0.1</v>
      </c>
      <c r="I364" t="s">
        <v>4626</v>
      </c>
      <c r="J364" t="s">
        <v>4591</v>
      </c>
    </row>
    <row r="365" spans="2:10">
      <c r="B365" t="s">
        <v>291</v>
      </c>
      <c r="C365">
        <v>5</v>
      </c>
      <c r="E365">
        <v>54310.3</v>
      </c>
      <c r="G365">
        <v>0.1</v>
      </c>
      <c r="I365" t="s">
        <v>4626</v>
      </c>
      <c r="J365" t="s">
        <v>4591</v>
      </c>
    </row>
    <row r="366" spans="2:10">
      <c r="B366" t="s">
        <v>291</v>
      </c>
      <c r="C366">
        <v>1</v>
      </c>
      <c r="E366">
        <v>54374.8</v>
      </c>
      <c r="G366">
        <v>0.1</v>
      </c>
      <c r="I366" t="s">
        <v>4626</v>
      </c>
      <c r="J366" t="s">
        <v>4591</v>
      </c>
    </row>
    <row r="367" spans="2:10">
      <c r="B367" t="s">
        <v>291</v>
      </c>
      <c r="C367">
        <v>1</v>
      </c>
      <c r="E367">
        <v>54419.67</v>
      </c>
      <c r="G367">
        <v>0.1</v>
      </c>
      <c r="I367" t="s">
        <v>4626</v>
      </c>
      <c r="J367" t="s">
        <v>4591</v>
      </c>
    </row>
    <row r="368" spans="2:10">
      <c r="B368" t="s">
        <v>291</v>
      </c>
      <c r="C368">
        <v>3</v>
      </c>
      <c r="E368">
        <v>54556.43</v>
      </c>
      <c r="G368">
        <v>0.1</v>
      </c>
      <c r="I368" t="s">
        <v>4626</v>
      </c>
      <c r="J368" t="s">
        <v>4591</v>
      </c>
    </row>
    <row r="369" spans="2:10">
      <c r="C369">
        <v>3</v>
      </c>
      <c r="E369">
        <v>54657.56</v>
      </c>
      <c r="G369">
        <v>0.1</v>
      </c>
      <c r="I369" t="s">
        <v>4626</v>
      </c>
      <c r="J369" t="s">
        <v>4591</v>
      </c>
    </row>
    <row r="370" spans="2:10">
      <c r="B370" t="s">
        <v>291</v>
      </c>
      <c r="C370">
        <v>6</v>
      </c>
      <c r="E370">
        <v>54733.38</v>
      </c>
      <c r="G370">
        <v>0.1</v>
      </c>
      <c r="I370" t="s">
        <v>4626</v>
      </c>
      <c r="J370" t="s">
        <v>4591</v>
      </c>
    </row>
    <row r="371" spans="2:10">
      <c r="B371" t="s">
        <v>291</v>
      </c>
      <c r="C371">
        <v>2</v>
      </c>
      <c r="E371">
        <v>54859.15</v>
      </c>
      <c r="G371">
        <v>0.1</v>
      </c>
      <c r="I371" t="s">
        <v>4626</v>
      </c>
      <c r="J371" t="s">
        <v>4591</v>
      </c>
    </row>
    <row r="372" spans="2:10">
      <c r="B372" t="s">
        <v>291</v>
      </c>
      <c r="C372">
        <v>6</v>
      </c>
      <c r="E372">
        <v>54895.96</v>
      </c>
      <c r="G372">
        <v>0.1</v>
      </c>
      <c r="I372" t="s">
        <v>4626</v>
      </c>
      <c r="J372" t="s">
        <v>4591</v>
      </c>
    </row>
    <row r="373" spans="2:10">
      <c r="B373" t="s">
        <v>291</v>
      </c>
      <c r="C373">
        <v>3</v>
      </c>
      <c r="E373">
        <v>54900.9</v>
      </c>
      <c r="G373">
        <v>0.1</v>
      </c>
      <c r="I373" t="s">
        <v>4626</v>
      </c>
      <c r="J373" t="s">
        <v>4591</v>
      </c>
    </row>
    <row r="374" spans="2:10">
      <c r="B374" t="s">
        <v>291</v>
      </c>
      <c r="C374">
        <v>4</v>
      </c>
      <c r="E374">
        <v>54911.61</v>
      </c>
      <c r="G374">
        <v>0.1</v>
      </c>
      <c r="I374" t="s">
        <v>4626</v>
      </c>
      <c r="J374" t="s">
        <v>4591</v>
      </c>
    </row>
    <row r="375" spans="2:10">
      <c r="B375" t="s">
        <v>291</v>
      </c>
      <c r="C375">
        <v>1</v>
      </c>
      <c r="E375">
        <v>54941.01</v>
      </c>
      <c r="G375">
        <v>0.1</v>
      </c>
      <c r="I375" t="s">
        <v>4626</v>
      </c>
      <c r="J375" t="s">
        <v>4591</v>
      </c>
    </row>
    <row r="376" spans="2:10">
      <c r="B376" t="s">
        <v>291</v>
      </c>
      <c r="C376">
        <v>5</v>
      </c>
      <c r="E376">
        <v>55009.22</v>
      </c>
      <c r="G376">
        <v>0.1</v>
      </c>
      <c r="I376" t="s">
        <v>4626</v>
      </c>
      <c r="J376" t="s">
        <v>4591</v>
      </c>
    </row>
    <row r="377" spans="2:10">
      <c r="B377" t="s">
        <v>291</v>
      </c>
      <c r="C377">
        <v>2</v>
      </c>
      <c r="E377">
        <v>55032.67</v>
      </c>
      <c r="G377">
        <v>0.1</v>
      </c>
      <c r="I377" t="s">
        <v>4626</v>
      </c>
      <c r="J377" t="s">
        <v>4591</v>
      </c>
    </row>
    <row r="378" spans="2:10">
      <c r="B378" t="s">
        <v>291</v>
      </c>
      <c r="C378">
        <v>4</v>
      </c>
      <c r="E378">
        <v>55043.34</v>
      </c>
      <c r="G378">
        <v>0.1</v>
      </c>
      <c r="I378" t="s">
        <v>4626</v>
      </c>
      <c r="J378" t="s">
        <v>4591</v>
      </c>
    </row>
    <row r="379" spans="2:10">
      <c r="B379" t="s">
        <v>291</v>
      </c>
      <c r="C379">
        <v>2</v>
      </c>
      <c r="E379">
        <v>55084.02</v>
      </c>
      <c r="G379">
        <v>0.1</v>
      </c>
      <c r="I379" t="s">
        <v>4626</v>
      </c>
      <c r="J379" t="s">
        <v>4591</v>
      </c>
    </row>
    <row r="380" spans="2:10">
      <c r="C380">
        <v>4</v>
      </c>
      <c r="E380">
        <v>55333.120000000003</v>
      </c>
      <c r="G380">
        <v>0.1</v>
      </c>
      <c r="H380">
        <v>1.45</v>
      </c>
      <c r="I380" t="s">
        <v>4626</v>
      </c>
      <c r="J380" t="s">
        <v>4591</v>
      </c>
    </row>
    <row r="381" spans="2:10">
      <c r="B381" t="s">
        <v>291</v>
      </c>
      <c r="C381">
        <v>4</v>
      </c>
      <c r="E381">
        <v>55346.2</v>
      </c>
      <c r="G381">
        <v>0.1</v>
      </c>
      <c r="I381" t="s">
        <v>4626</v>
      </c>
      <c r="J381" t="s">
        <v>4591</v>
      </c>
    </row>
    <row r="382" spans="2:10">
      <c r="C382">
        <v>5</v>
      </c>
      <c r="E382">
        <v>55381</v>
      </c>
      <c r="G382">
        <v>0.1</v>
      </c>
      <c r="I382" t="s">
        <v>4626</v>
      </c>
      <c r="J382" t="s">
        <v>4591</v>
      </c>
    </row>
    <row r="383" spans="2:10">
      <c r="B383" t="s">
        <v>291</v>
      </c>
      <c r="C383">
        <v>1</v>
      </c>
      <c r="E383">
        <v>55384.38</v>
      </c>
      <c r="G383">
        <v>0.1</v>
      </c>
      <c r="I383" t="s">
        <v>4626</v>
      </c>
      <c r="J383" t="s">
        <v>4591</v>
      </c>
    </row>
    <row r="384" spans="2:10">
      <c r="B384" t="s">
        <v>291</v>
      </c>
      <c r="C384">
        <v>3</v>
      </c>
      <c r="E384">
        <v>55389.3</v>
      </c>
      <c r="G384">
        <v>0.1</v>
      </c>
      <c r="I384" t="s">
        <v>4626</v>
      </c>
      <c r="J384" t="s">
        <v>4591</v>
      </c>
    </row>
    <row r="385" spans="2:10">
      <c r="B385" t="s">
        <v>291</v>
      </c>
      <c r="C385">
        <v>2</v>
      </c>
      <c r="E385">
        <v>55390.16</v>
      </c>
      <c r="G385">
        <v>0.1</v>
      </c>
      <c r="I385" t="s">
        <v>4626</v>
      </c>
      <c r="J385" t="s">
        <v>4591</v>
      </c>
    </row>
    <row r="386" spans="2:10">
      <c r="C386">
        <v>6</v>
      </c>
      <c r="E386">
        <v>55420.88</v>
      </c>
      <c r="G386">
        <v>0.1</v>
      </c>
      <c r="I386" t="s">
        <v>4626</v>
      </c>
      <c r="J386" t="s">
        <v>4591</v>
      </c>
    </row>
    <row r="387" spans="2:10">
      <c r="B387" t="s">
        <v>291</v>
      </c>
      <c r="C387">
        <v>5</v>
      </c>
      <c r="E387">
        <v>55455.35</v>
      </c>
      <c r="G387">
        <v>0.1</v>
      </c>
      <c r="I387" t="s">
        <v>4626</v>
      </c>
      <c r="J387" t="s">
        <v>4591</v>
      </c>
    </row>
    <row r="388" spans="2:10">
      <c r="B388" t="s">
        <v>291</v>
      </c>
      <c r="C388">
        <v>5</v>
      </c>
      <c r="E388">
        <v>55492.22</v>
      </c>
      <c r="G388">
        <v>0.1</v>
      </c>
      <c r="I388" t="s">
        <v>4626</v>
      </c>
      <c r="J388" t="s">
        <v>4591</v>
      </c>
    </row>
    <row r="389" spans="2:10">
      <c r="B389" t="s">
        <v>291</v>
      </c>
      <c r="C389">
        <v>3</v>
      </c>
      <c r="E389">
        <v>55546.06</v>
      </c>
      <c r="G389">
        <v>0.1</v>
      </c>
      <c r="I389" t="s">
        <v>4626</v>
      </c>
      <c r="J389" t="s">
        <v>4591</v>
      </c>
    </row>
    <row r="390" spans="2:10">
      <c r="B390" t="s">
        <v>291</v>
      </c>
      <c r="C390">
        <v>4</v>
      </c>
      <c r="E390">
        <v>55596.9</v>
      </c>
      <c r="G390">
        <v>0.1</v>
      </c>
      <c r="I390" t="s">
        <v>4626</v>
      </c>
      <c r="J390" t="s">
        <v>4591</v>
      </c>
    </row>
    <row r="391" spans="2:10">
      <c r="B391" t="s">
        <v>291</v>
      </c>
      <c r="C391">
        <v>2</v>
      </c>
      <c r="E391">
        <v>55619.66</v>
      </c>
      <c r="G391">
        <v>0.1</v>
      </c>
      <c r="I391" t="s">
        <v>4626</v>
      </c>
      <c r="J391" t="s">
        <v>4591</v>
      </c>
    </row>
    <row r="392" spans="2:10">
      <c r="B392" t="s">
        <v>291</v>
      </c>
      <c r="C392">
        <v>7</v>
      </c>
      <c r="E392">
        <v>55690.82</v>
      </c>
      <c r="G392">
        <v>0.1</v>
      </c>
      <c r="I392" t="s">
        <v>4626</v>
      </c>
      <c r="J392" t="s">
        <v>4591</v>
      </c>
    </row>
    <row r="393" spans="2:10">
      <c r="B393" t="s">
        <v>291</v>
      </c>
      <c r="C393">
        <v>5</v>
      </c>
      <c r="E393">
        <v>55795.48</v>
      </c>
      <c r="G393">
        <v>0.1</v>
      </c>
      <c r="I393" t="s">
        <v>4626</v>
      </c>
      <c r="J393" t="s">
        <v>4591</v>
      </c>
    </row>
    <row r="394" spans="2:10">
      <c r="B394" t="s">
        <v>291</v>
      </c>
      <c r="C394">
        <v>2</v>
      </c>
      <c r="E394">
        <v>55835.12</v>
      </c>
      <c r="G394">
        <v>0.1</v>
      </c>
      <c r="I394" t="s">
        <v>4626</v>
      </c>
      <c r="J394" t="s">
        <v>4591</v>
      </c>
    </row>
    <row r="395" spans="2:10">
      <c r="B395" t="s">
        <v>291</v>
      </c>
      <c r="C395">
        <v>6</v>
      </c>
      <c r="E395">
        <v>55847.68</v>
      </c>
      <c r="G395">
        <v>0.1</v>
      </c>
      <c r="I395" t="s">
        <v>4626</v>
      </c>
      <c r="J395" t="s">
        <v>4591</v>
      </c>
    </row>
    <row r="396" spans="2:10">
      <c r="B396" t="s">
        <v>291</v>
      </c>
      <c r="C396">
        <v>1</v>
      </c>
      <c r="E396">
        <v>55859.32</v>
      </c>
      <c r="G396">
        <v>0.1</v>
      </c>
      <c r="I396" t="s">
        <v>4626</v>
      </c>
      <c r="J396" t="s">
        <v>4591</v>
      </c>
    </row>
    <row r="397" spans="2:10">
      <c r="B397" t="s">
        <v>291</v>
      </c>
      <c r="C397">
        <v>4</v>
      </c>
      <c r="E397">
        <v>55867.24</v>
      </c>
      <c r="G397">
        <v>0.1</v>
      </c>
      <c r="I397" t="s">
        <v>4626</v>
      </c>
      <c r="J397" t="s">
        <v>4591</v>
      </c>
    </row>
    <row r="398" spans="2:10">
      <c r="B398" t="s">
        <v>291</v>
      </c>
      <c r="C398">
        <v>4</v>
      </c>
      <c r="E398">
        <v>55955.360000000001</v>
      </c>
      <c r="G398">
        <v>0.1</v>
      </c>
      <c r="I398" t="s">
        <v>4626</v>
      </c>
      <c r="J398" t="s">
        <v>4591</v>
      </c>
    </row>
    <row r="399" spans="2:10">
      <c r="B399" t="s">
        <v>291</v>
      </c>
      <c r="C399">
        <v>5</v>
      </c>
      <c r="E399">
        <v>55987.9</v>
      </c>
      <c r="G399">
        <v>0.1</v>
      </c>
      <c r="I399" t="s">
        <v>4626</v>
      </c>
      <c r="J399" t="s">
        <v>4591</v>
      </c>
    </row>
    <row r="400" spans="2:10">
      <c r="B400" t="s">
        <v>291</v>
      </c>
      <c r="C400">
        <v>2</v>
      </c>
      <c r="E400">
        <v>56037.279999999999</v>
      </c>
      <c r="G400">
        <v>0.1</v>
      </c>
      <c r="I400" t="s">
        <v>4626</v>
      </c>
      <c r="J400" t="s">
        <v>4591</v>
      </c>
    </row>
    <row r="401" spans="2:10">
      <c r="B401" t="s">
        <v>291</v>
      </c>
      <c r="C401">
        <v>3</v>
      </c>
      <c r="E401">
        <v>56108.44</v>
      </c>
      <c r="G401">
        <v>0.1</v>
      </c>
      <c r="I401" t="s">
        <v>4626</v>
      </c>
      <c r="J401" t="s">
        <v>4591</v>
      </c>
    </row>
    <row r="402" spans="2:10">
      <c r="B402" t="s">
        <v>291</v>
      </c>
      <c r="C402">
        <v>4</v>
      </c>
      <c r="E402">
        <v>56174.63</v>
      </c>
      <c r="G402">
        <v>0.1</v>
      </c>
      <c r="I402" t="s">
        <v>4626</v>
      </c>
      <c r="J402" t="s">
        <v>4591</v>
      </c>
    </row>
    <row r="403" spans="2:10">
      <c r="B403" t="s">
        <v>291</v>
      </c>
      <c r="C403">
        <v>4</v>
      </c>
      <c r="E403">
        <v>56255.65</v>
      </c>
      <c r="G403">
        <v>0.1</v>
      </c>
      <c r="I403" t="s">
        <v>4626</v>
      </c>
      <c r="J403" t="s">
        <v>4591</v>
      </c>
    </row>
    <row r="404" spans="2:10">
      <c r="B404" t="s">
        <v>291</v>
      </c>
      <c r="C404">
        <v>5</v>
      </c>
      <c r="E404">
        <v>56280.45</v>
      </c>
      <c r="G404">
        <v>0.1</v>
      </c>
      <c r="I404" t="s">
        <v>4626</v>
      </c>
      <c r="J404" t="s">
        <v>4591</v>
      </c>
    </row>
    <row r="405" spans="2:10">
      <c r="B405" t="s">
        <v>291</v>
      </c>
      <c r="C405">
        <v>3</v>
      </c>
      <c r="E405">
        <v>56332</v>
      </c>
      <c r="G405">
        <v>0.1</v>
      </c>
      <c r="I405" t="s">
        <v>4626</v>
      </c>
      <c r="J405" t="s">
        <v>4591</v>
      </c>
    </row>
    <row r="406" spans="2:10">
      <c r="B406" t="s">
        <v>291</v>
      </c>
      <c r="C406">
        <v>3</v>
      </c>
      <c r="E406">
        <v>56484.33</v>
      </c>
      <c r="G406">
        <v>0.1</v>
      </c>
      <c r="I406" t="s">
        <v>4626</v>
      </c>
      <c r="J406" t="s">
        <v>4591</v>
      </c>
    </row>
    <row r="407" spans="2:10">
      <c r="B407" t="s">
        <v>291</v>
      </c>
      <c r="C407">
        <v>4</v>
      </c>
      <c r="E407">
        <v>56502.1</v>
      </c>
      <c r="G407">
        <v>0.1</v>
      </c>
      <c r="I407" t="s">
        <v>4626</v>
      </c>
      <c r="J407" t="s">
        <v>4591</v>
      </c>
    </row>
    <row r="408" spans="2:10">
      <c r="B408" t="s">
        <v>291</v>
      </c>
      <c r="C408">
        <v>6</v>
      </c>
      <c r="E408">
        <v>56526.57</v>
      </c>
      <c r="G408">
        <v>0.1</v>
      </c>
      <c r="I408" t="s">
        <v>4626</v>
      </c>
      <c r="J408" t="s">
        <v>4591</v>
      </c>
    </row>
    <row r="409" spans="2:10">
      <c r="B409" t="s">
        <v>291</v>
      </c>
      <c r="C409">
        <v>7</v>
      </c>
      <c r="E409">
        <v>56557.2</v>
      </c>
      <c r="G409">
        <v>0.1</v>
      </c>
      <c r="I409" t="s">
        <v>4626</v>
      </c>
      <c r="J409" t="s">
        <v>4591</v>
      </c>
    </row>
    <row r="410" spans="2:10">
      <c r="C410">
        <v>5</v>
      </c>
      <c r="E410">
        <v>56573.54</v>
      </c>
      <c r="G410">
        <v>0.1</v>
      </c>
      <c r="I410" t="s">
        <v>4626</v>
      </c>
      <c r="J410" t="s">
        <v>4591</v>
      </c>
    </row>
    <row r="411" spans="2:10">
      <c r="B411" t="s">
        <v>291</v>
      </c>
      <c r="C411">
        <v>3</v>
      </c>
      <c r="E411">
        <v>56717.13</v>
      </c>
      <c r="G411">
        <v>0.1</v>
      </c>
      <c r="I411" t="s">
        <v>4626</v>
      </c>
      <c r="J411" t="s">
        <v>4591</v>
      </c>
    </row>
    <row r="412" spans="2:10">
      <c r="C412">
        <v>5</v>
      </c>
      <c r="E412">
        <v>56768.06</v>
      </c>
      <c r="G412">
        <v>0.1</v>
      </c>
      <c r="I412" t="s">
        <v>4626</v>
      </c>
      <c r="J412" t="s">
        <v>4591</v>
      </c>
    </row>
    <row r="413" spans="2:10">
      <c r="B413" t="s">
        <v>291</v>
      </c>
      <c r="C413">
        <v>7</v>
      </c>
      <c r="E413">
        <v>56790.6</v>
      </c>
      <c r="G413">
        <v>0.1</v>
      </c>
      <c r="I413" t="s">
        <v>4626</v>
      </c>
      <c r="J413" t="s">
        <v>4591</v>
      </c>
    </row>
    <row r="414" spans="2:10">
      <c r="B414" t="s">
        <v>291</v>
      </c>
      <c r="C414">
        <v>4</v>
      </c>
      <c r="E414">
        <v>56831.67</v>
      </c>
      <c r="G414">
        <v>0.1</v>
      </c>
      <c r="I414" t="s">
        <v>4626</v>
      </c>
      <c r="J414" t="s">
        <v>4591</v>
      </c>
    </row>
    <row r="415" spans="2:10">
      <c r="C415">
        <v>6</v>
      </c>
      <c r="E415">
        <v>56832.9</v>
      </c>
      <c r="G415">
        <v>0.1</v>
      </c>
      <c r="I415" t="s">
        <v>4626</v>
      </c>
      <c r="J415" t="s">
        <v>4591</v>
      </c>
    </row>
    <row r="416" spans="2:10">
      <c r="B416" t="s">
        <v>291</v>
      </c>
      <c r="C416">
        <v>2</v>
      </c>
      <c r="E416">
        <v>56999.3</v>
      </c>
      <c r="G416">
        <v>0.1</v>
      </c>
      <c r="I416" t="s">
        <v>4626</v>
      </c>
      <c r="J416" t="s">
        <v>4591</v>
      </c>
    </row>
    <row r="417" spans="2:10">
      <c r="B417" t="s">
        <v>291</v>
      </c>
      <c r="C417">
        <v>3</v>
      </c>
      <c r="E417">
        <v>57131.78</v>
      </c>
      <c r="G417">
        <v>0.1</v>
      </c>
      <c r="I417" t="s">
        <v>4626</v>
      </c>
      <c r="J417" t="s">
        <v>4591</v>
      </c>
    </row>
    <row r="418" spans="2:10">
      <c r="B418" t="s">
        <v>291</v>
      </c>
      <c r="C418">
        <v>5</v>
      </c>
      <c r="E418">
        <v>57143.48</v>
      </c>
      <c r="G418">
        <v>0.1</v>
      </c>
      <c r="I418" t="s">
        <v>4626</v>
      </c>
      <c r="J418" t="s">
        <v>4591</v>
      </c>
    </row>
    <row r="419" spans="2:10">
      <c r="B419" t="s">
        <v>291</v>
      </c>
      <c r="C419">
        <v>6</v>
      </c>
      <c r="E419">
        <v>57148.98</v>
      </c>
      <c r="G419">
        <v>0.1</v>
      </c>
      <c r="I419" t="s">
        <v>4626</v>
      </c>
      <c r="J419" t="s">
        <v>4591</v>
      </c>
    </row>
    <row r="420" spans="2:10">
      <c r="B420" t="s">
        <v>291</v>
      </c>
      <c r="C420">
        <v>4</v>
      </c>
      <c r="E420">
        <v>57315.25</v>
      </c>
      <c r="G420">
        <v>0.1</v>
      </c>
      <c r="I420" t="s">
        <v>4626</v>
      </c>
      <c r="J420" t="s">
        <v>4591</v>
      </c>
    </row>
    <row r="421" spans="2:10">
      <c r="B421" t="s">
        <v>291</v>
      </c>
      <c r="C421">
        <v>3</v>
      </c>
      <c r="E421">
        <v>57352.32</v>
      </c>
      <c r="G421">
        <v>0.1</v>
      </c>
      <c r="I421" t="s">
        <v>4626</v>
      </c>
      <c r="J421" t="s">
        <v>4591</v>
      </c>
    </row>
    <row r="422" spans="2:10">
      <c r="B422" t="s">
        <v>291</v>
      </c>
      <c r="C422">
        <v>4</v>
      </c>
      <c r="E422">
        <v>57471.8</v>
      </c>
      <c r="G422">
        <v>0.1</v>
      </c>
      <c r="I422" t="s">
        <v>4626</v>
      </c>
      <c r="J422" t="s">
        <v>4591</v>
      </c>
    </row>
    <row r="423" spans="2:10">
      <c r="B423" t="s">
        <v>291</v>
      </c>
      <c r="C423">
        <v>5</v>
      </c>
      <c r="E423">
        <v>57560.83</v>
      </c>
      <c r="G423">
        <v>0.1</v>
      </c>
      <c r="I423" t="s">
        <v>4626</v>
      </c>
      <c r="J423" t="s">
        <v>4591</v>
      </c>
    </row>
    <row r="424" spans="2:10">
      <c r="B424" t="s">
        <v>291</v>
      </c>
      <c r="C424">
        <v>3</v>
      </c>
      <c r="E424">
        <v>57619.360000000001</v>
      </c>
      <c r="G424">
        <v>0.1</v>
      </c>
      <c r="I424" t="s">
        <v>4626</v>
      </c>
      <c r="J424" t="s">
        <v>4591</v>
      </c>
    </row>
    <row r="425" spans="2:10">
      <c r="B425" t="s">
        <v>291</v>
      </c>
      <c r="C425">
        <v>6</v>
      </c>
      <c r="E425">
        <v>57702.3</v>
      </c>
      <c r="G425">
        <v>0.1</v>
      </c>
      <c r="I425" t="s">
        <v>4626</v>
      </c>
      <c r="J425" t="s">
        <v>4591</v>
      </c>
    </row>
    <row r="426" spans="2:10">
      <c r="B426" t="s">
        <v>291</v>
      </c>
      <c r="C426">
        <v>3</v>
      </c>
      <c r="E426">
        <v>57732.46</v>
      </c>
      <c r="G426">
        <v>0.1</v>
      </c>
      <c r="I426" t="s">
        <v>4626</v>
      </c>
      <c r="J426" t="s">
        <v>4591</v>
      </c>
    </row>
    <row r="427" spans="2:10">
      <c r="B427" t="s">
        <v>291</v>
      </c>
      <c r="C427">
        <v>4</v>
      </c>
      <c r="E427">
        <v>57803.66</v>
      </c>
      <c r="G427">
        <v>0.1</v>
      </c>
      <c r="I427" t="s">
        <v>4626</v>
      </c>
      <c r="J427" t="s">
        <v>4591</v>
      </c>
    </row>
    <row r="428" spans="2:10">
      <c r="B428" t="s">
        <v>291</v>
      </c>
      <c r="C428">
        <v>6</v>
      </c>
      <c r="E428">
        <v>57919.17</v>
      </c>
      <c r="G428">
        <v>0.1</v>
      </c>
      <c r="I428" t="s">
        <v>4626</v>
      </c>
      <c r="J428" t="s">
        <v>4591</v>
      </c>
    </row>
    <row r="429" spans="2:10">
      <c r="B429" t="s">
        <v>291</v>
      </c>
      <c r="C429">
        <v>3</v>
      </c>
      <c r="E429">
        <v>58091.58</v>
      </c>
      <c r="G429">
        <v>0.1</v>
      </c>
      <c r="I429" t="s">
        <v>4626</v>
      </c>
      <c r="J429" t="s">
        <v>4591</v>
      </c>
    </row>
    <row r="430" spans="2:10">
      <c r="B430" t="s">
        <v>291</v>
      </c>
      <c r="C430">
        <v>5</v>
      </c>
      <c r="E430">
        <v>58179.38</v>
      </c>
      <c r="G430">
        <v>0.1</v>
      </c>
      <c r="I430" t="s">
        <v>4626</v>
      </c>
      <c r="J430" t="s">
        <v>4591</v>
      </c>
    </row>
    <row r="431" spans="2:10">
      <c r="B431" t="s">
        <v>291</v>
      </c>
      <c r="C431">
        <v>3</v>
      </c>
      <c r="E431">
        <v>58206</v>
      </c>
      <c r="G431">
        <v>0.1</v>
      </c>
      <c r="I431" t="s">
        <v>4626</v>
      </c>
      <c r="J431" t="s">
        <v>4591</v>
      </c>
    </row>
    <row r="432" spans="2:10">
      <c r="B432" t="s">
        <v>291</v>
      </c>
      <c r="C432">
        <v>1</v>
      </c>
      <c r="E432">
        <v>58290.18</v>
      </c>
      <c r="G432">
        <v>0.1</v>
      </c>
      <c r="I432" t="s">
        <v>4626</v>
      </c>
      <c r="J432" t="s">
        <v>4591</v>
      </c>
    </row>
    <row r="433" spans="2:10">
      <c r="B433" t="s">
        <v>291</v>
      </c>
      <c r="C433">
        <v>4</v>
      </c>
      <c r="E433">
        <v>58316.46</v>
      </c>
      <c r="G433">
        <v>0.1</v>
      </c>
      <c r="I433" t="s">
        <v>4626</v>
      </c>
      <c r="J433" t="s">
        <v>4591</v>
      </c>
    </row>
    <row r="434" spans="2:10">
      <c r="B434" t="s">
        <v>291</v>
      </c>
      <c r="C434">
        <v>4</v>
      </c>
      <c r="E434">
        <v>58330.13</v>
      </c>
      <c r="G434">
        <v>0.1</v>
      </c>
      <c r="I434" t="s">
        <v>4626</v>
      </c>
      <c r="J434" t="s">
        <v>4591</v>
      </c>
    </row>
    <row r="435" spans="2:10">
      <c r="B435" t="s">
        <v>291</v>
      </c>
      <c r="C435">
        <v>3</v>
      </c>
      <c r="E435">
        <v>58487.519999999997</v>
      </c>
      <c r="G435">
        <v>0.1</v>
      </c>
      <c r="I435" t="s">
        <v>4626</v>
      </c>
      <c r="J435" t="s">
        <v>4591</v>
      </c>
    </row>
    <row r="436" spans="2:10">
      <c r="B436" t="s">
        <v>291</v>
      </c>
      <c r="C436">
        <v>5</v>
      </c>
      <c r="E436">
        <v>58562.68</v>
      </c>
      <c r="G436">
        <v>0.1</v>
      </c>
      <c r="I436" t="s">
        <v>4626</v>
      </c>
      <c r="J436" t="s">
        <v>4591</v>
      </c>
    </row>
    <row r="437" spans="2:10">
      <c r="B437" t="s">
        <v>291</v>
      </c>
      <c r="C437">
        <v>2</v>
      </c>
      <c r="E437">
        <v>58595.42</v>
      </c>
      <c r="G437">
        <v>0.1</v>
      </c>
      <c r="I437" t="s">
        <v>4626</v>
      </c>
      <c r="J437" t="s">
        <v>4591</v>
      </c>
    </row>
    <row r="438" spans="2:10">
      <c r="B438" t="s">
        <v>291</v>
      </c>
      <c r="C438">
        <v>3</v>
      </c>
      <c r="E438">
        <v>58644.1</v>
      </c>
      <c r="G438">
        <v>0.1</v>
      </c>
      <c r="I438" t="s">
        <v>4626</v>
      </c>
      <c r="J438" t="s">
        <v>4591</v>
      </c>
    </row>
    <row r="439" spans="2:10">
      <c r="B439" t="s">
        <v>291</v>
      </c>
      <c r="C439">
        <v>2</v>
      </c>
      <c r="E439">
        <v>58655.72</v>
      </c>
      <c r="G439">
        <v>0.1</v>
      </c>
      <c r="I439" t="s">
        <v>4626</v>
      </c>
      <c r="J439" t="s">
        <v>4591</v>
      </c>
    </row>
    <row r="440" spans="2:10">
      <c r="B440" t="s">
        <v>291</v>
      </c>
      <c r="C440">
        <v>6</v>
      </c>
      <c r="E440">
        <v>58760.959999999999</v>
      </c>
      <c r="G440">
        <v>0.1</v>
      </c>
      <c r="I440" t="s">
        <v>4626</v>
      </c>
      <c r="J440" t="s">
        <v>4591</v>
      </c>
    </row>
    <row r="441" spans="2:10">
      <c r="B441" t="s">
        <v>291</v>
      </c>
      <c r="C441">
        <v>4</v>
      </c>
      <c r="E441">
        <v>58777.8</v>
      </c>
      <c r="G441">
        <v>0.1</v>
      </c>
      <c r="I441" t="s">
        <v>4626</v>
      </c>
      <c r="J441" t="s">
        <v>4591</v>
      </c>
    </row>
    <row r="442" spans="2:10">
      <c r="B442" t="s">
        <v>291</v>
      </c>
      <c r="C442">
        <v>4</v>
      </c>
      <c r="E442">
        <v>58848.9</v>
      </c>
      <c r="G442">
        <v>0.1</v>
      </c>
      <c r="I442" t="s">
        <v>4626</v>
      </c>
      <c r="J442" t="s">
        <v>4591</v>
      </c>
    </row>
    <row r="443" spans="2:10">
      <c r="B443" t="s">
        <v>291</v>
      </c>
      <c r="C443">
        <v>5</v>
      </c>
      <c r="E443">
        <v>58903.98</v>
      </c>
      <c r="G443">
        <v>0.1</v>
      </c>
      <c r="I443" t="s">
        <v>4626</v>
      </c>
      <c r="J443" t="s">
        <v>4591</v>
      </c>
    </row>
    <row r="444" spans="2:10">
      <c r="B444" t="s">
        <v>291</v>
      </c>
      <c r="C444">
        <v>6</v>
      </c>
      <c r="E444">
        <v>59128.800000000003</v>
      </c>
      <c r="G444">
        <v>0.1</v>
      </c>
      <c r="I444" t="s">
        <v>4626</v>
      </c>
      <c r="J444" t="s">
        <v>4591</v>
      </c>
    </row>
    <row r="445" spans="2:10">
      <c r="B445" t="s">
        <v>291</v>
      </c>
      <c r="C445">
        <v>5</v>
      </c>
      <c r="E445">
        <v>59149.599999999999</v>
      </c>
      <c r="G445">
        <v>0.1</v>
      </c>
      <c r="I445" t="s">
        <v>4626</v>
      </c>
      <c r="J445" t="s">
        <v>4591</v>
      </c>
    </row>
    <row r="446" spans="2:10">
      <c r="B446" t="s">
        <v>291</v>
      </c>
      <c r="C446">
        <v>4</v>
      </c>
      <c r="E446">
        <v>59171.71</v>
      </c>
      <c r="G446">
        <v>0.1</v>
      </c>
      <c r="I446" t="s">
        <v>4626</v>
      </c>
      <c r="J446" t="s">
        <v>4591</v>
      </c>
    </row>
    <row r="447" spans="2:10">
      <c r="B447" t="s">
        <v>291</v>
      </c>
      <c r="C447">
        <v>2</v>
      </c>
      <c r="E447">
        <v>59211.47</v>
      </c>
      <c r="G447">
        <v>0.1</v>
      </c>
      <c r="I447" t="s">
        <v>4626</v>
      </c>
      <c r="J447" t="s">
        <v>4591</v>
      </c>
    </row>
    <row r="448" spans="2:10">
      <c r="B448" t="s">
        <v>291</v>
      </c>
      <c r="C448">
        <v>5</v>
      </c>
      <c r="E448">
        <v>59263.63</v>
      </c>
      <c r="G448">
        <v>0.1</v>
      </c>
      <c r="I448" t="s">
        <v>4626</v>
      </c>
      <c r="J448" t="s">
        <v>4591</v>
      </c>
    </row>
    <row r="449" spans="2:10">
      <c r="B449" t="s">
        <v>291</v>
      </c>
      <c r="C449">
        <v>7</v>
      </c>
      <c r="E449">
        <v>59346.98</v>
      </c>
      <c r="G449">
        <v>0.1</v>
      </c>
      <c r="I449" t="s">
        <v>4626</v>
      </c>
      <c r="J449" t="s">
        <v>4591</v>
      </c>
    </row>
    <row r="450" spans="2:10">
      <c r="B450" t="s">
        <v>291</v>
      </c>
      <c r="C450">
        <v>3</v>
      </c>
      <c r="E450">
        <v>59399.74</v>
      </c>
      <c r="G450">
        <v>0.1</v>
      </c>
      <c r="I450" t="s">
        <v>4626</v>
      </c>
      <c r="J450" t="s">
        <v>4591</v>
      </c>
    </row>
    <row r="451" spans="2:10">
      <c r="B451" t="s">
        <v>291</v>
      </c>
      <c r="C451">
        <v>6</v>
      </c>
      <c r="E451">
        <v>59410.52</v>
      </c>
      <c r="G451">
        <v>0.1</v>
      </c>
      <c r="I451" t="s">
        <v>4626</v>
      </c>
      <c r="J451" t="s">
        <v>4591</v>
      </c>
    </row>
    <row r="452" spans="2:10">
      <c r="B452" t="s">
        <v>291</v>
      </c>
      <c r="C452">
        <v>2</v>
      </c>
      <c r="E452">
        <v>59422</v>
      </c>
      <c r="G452">
        <v>0.1</v>
      </c>
      <c r="I452" t="s">
        <v>4626</v>
      </c>
      <c r="J452" t="s">
        <v>4591</v>
      </c>
    </row>
    <row r="453" spans="2:10">
      <c r="B453" t="s">
        <v>291</v>
      </c>
      <c r="C453">
        <v>5</v>
      </c>
      <c r="E453">
        <v>59673.32</v>
      </c>
      <c r="G453">
        <v>0.1</v>
      </c>
      <c r="I453" t="s">
        <v>4626</v>
      </c>
      <c r="J453" t="s">
        <v>4591</v>
      </c>
    </row>
    <row r="454" spans="2:10">
      <c r="B454" t="s">
        <v>291</v>
      </c>
      <c r="C454">
        <v>2</v>
      </c>
      <c r="E454">
        <v>59999.1</v>
      </c>
      <c r="G454">
        <v>0.1</v>
      </c>
      <c r="I454" t="s">
        <v>4626</v>
      </c>
      <c r="J454" t="s">
        <v>4591</v>
      </c>
    </row>
    <row r="455" spans="2:10">
      <c r="B455" t="s">
        <v>291</v>
      </c>
      <c r="C455">
        <v>4</v>
      </c>
      <c r="E455">
        <v>60158.32</v>
      </c>
      <c r="G455">
        <v>0.1</v>
      </c>
      <c r="I455" t="s">
        <v>4626</v>
      </c>
      <c r="J455" t="s">
        <v>4591</v>
      </c>
    </row>
    <row r="456" spans="2:10">
      <c r="B456" t="s">
        <v>291</v>
      </c>
      <c r="C456">
        <v>5</v>
      </c>
      <c r="E456">
        <v>60229.18</v>
      </c>
      <c r="G456">
        <v>0.1</v>
      </c>
      <c r="I456" t="s">
        <v>4626</v>
      </c>
      <c r="J456" t="s">
        <v>4591</v>
      </c>
    </row>
    <row r="457" spans="2:10">
      <c r="B457" t="s">
        <v>291</v>
      </c>
      <c r="C457">
        <v>4</v>
      </c>
      <c r="E457">
        <v>60385.09</v>
      </c>
      <c r="G457">
        <v>0.1</v>
      </c>
      <c r="I457" t="s">
        <v>4626</v>
      </c>
      <c r="J457" t="s">
        <v>4591</v>
      </c>
    </row>
    <row r="458" spans="2:10">
      <c r="B458" t="s">
        <v>291</v>
      </c>
      <c r="C458">
        <v>6</v>
      </c>
      <c r="E458">
        <v>60414.83</v>
      </c>
      <c r="G458">
        <v>0.1</v>
      </c>
      <c r="I458" t="s">
        <v>4626</v>
      </c>
      <c r="J458" t="s">
        <v>4591</v>
      </c>
    </row>
    <row r="459" spans="2:10">
      <c r="B459" t="s">
        <v>291</v>
      </c>
      <c r="C459">
        <v>5</v>
      </c>
      <c r="E459">
        <v>60741.4</v>
      </c>
      <c r="G459">
        <v>0.1</v>
      </c>
      <c r="I459" t="s">
        <v>4626</v>
      </c>
      <c r="J459" t="s">
        <v>4591</v>
      </c>
    </row>
    <row r="460" spans="2:10">
      <c r="B460" t="s">
        <v>291</v>
      </c>
      <c r="C460">
        <v>7</v>
      </c>
      <c r="E460">
        <v>61180.86</v>
      </c>
      <c r="G460">
        <v>0.1</v>
      </c>
      <c r="I460" t="s">
        <v>4626</v>
      </c>
      <c r="J460" t="s">
        <v>4591</v>
      </c>
    </row>
    <row r="461" spans="2:10">
      <c r="B461" t="s">
        <v>291</v>
      </c>
      <c r="C461">
        <v>5</v>
      </c>
      <c r="E461">
        <v>61476.6</v>
      </c>
      <c r="G461">
        <v>0.1</v>
      </c>
      <c r="I461" t="s">
        <v>4626</v>
      </c>
      <c r="J461" t="s">
        <v>4591</v>
      </c>
    </row>
    <row r="462" spans="2:10">
      <c r="B462" t="s">
        <v>291</v>
      </c>
      <c r="C462">
        <v>4</v>
      </c>
      <c r="E462">
        <v>61535.5</v>
      </c>
      <c r="G462">
        <v>0.1</v>
      </c>
      <c r="I462" t="s">
        <v>4626</v>
      </c>
      <c r="J462" t="s">
        <v>4591</v>
      </c>
    </row>
    <row r="463" spans="2:10">
      <c r="B463" t="s">
        <v>291</v>
      </c>
      <c r="C463">
        <v>5</v>
      </c>
      <c r="E463">
        <v>62154.5</v>
      </c>
      <c r="G463">
        <v>0.1</v>
      </c>
      <c r="I463" t="s">
        <v>4626</v>
      </c>
      <c r="J463" t="s">
        <v>4591</v>
      </c>
    </row>
    <row r="464" spans="2:10">
      <c r="B464" t="s">
        <v>291</v>
      </c>
      <c r="C464">
        <v>6</v>
      </c>
      <c r="E464">
        <v>62524.02</v>
      </c>
      <c r="G464">
        <v>0.1</v>
      </c>
      <c r="I464" t="s">
        <v>4626</v>
      </c>
      <c r="J464" t="s">
        <v>4591</v>
      </c>
    </row>
    <row r="465" spans="1:10">
      <c r="B465" t="s">
        <v>291</v>
      </c>
      <c r="C465">
        <v>6</v>
      </c>
      <c r="E465">
        <v>62687.5</v>
      </c>
      <c r="G465">
        <v>0.1</v>
      </c>
      <c r="I465" t="s">
        <v>4626</v>
      </c>
      <c r="J465" t="s">
        <v>4591</v>
      </c>
    </row>
    <row r="466" spans="1:10">
      <c r="A466" t="s">
        <v>4662</v>
      </c>
      <c r="B466" t="s">
        <v>4663</v>
      </c>
      <c r="E466">
        <v>63288</v>
      </c>
      <c r="G466">
        <v>0.1</v>
      </c>
      <c r="I466" t="s">
        <v>4626</v>
      </c>
      <c r="J466" t="s">
        <v>4591</v>
      </c>
    </row>
    <row r="467" spans="1:10">
      <c r="A467" t="s">
        <v>4664</v>
      </c>
      <c r="B467" t="s">
        <v>4663</v>
      </c>
      <c r="E467">
        <v>63297.4</v>
      </c>
      <c r="G467">
        <v>0.1</v>
      </c>
      <c r="I467" t="s">
        <v>4626</v>
      </c>
      <c r="J467" t="s">
        <v>4591</v>
      </c>
    </row>
    <row r="468" spans="1:10">
      <c r="A468" t="s">
        <v>4665</v>
      </c>
      <c r="B468" t="s">
        <v>4663</v>
      </c>
      <c r="E468">
        <v>63306</v>
      </c>
      <c r="G468">
        <v>0.1</v>
      </c>
      <c r="I468" t="s">
        <v>4626</v>
      </c>
      <c r="J468" t="s">
        <v>4591</v>
      </c>
    </row>
    <row r="469" spans="1:10">
      <c r="A469" t="s">
        <v>4666</v>
      </c>
      <c r="B469" t="s">
        <v>4663</v>
      </c>
      <c r="E469">
        <v>63313.599999999999</v>
      </c>
      <c r="G469">
        <v>0.1</v>
      </c>
      <c r="I469" t="s">
        <v>4626</v>
      </c>
      <c r="J469" t="s">
        <v>4591</v>
      </c>
    </row>
    <row r="470" spans="1:10">
      <c r="A470" t="s">
        <v>4667</v>
      </c>
      <c r="B470" t="s">
        <v>4663</v>
      </c>
      <c r="E470">
        <v>63327</v>
      </c>
      <c r="G470">
        <v>0.1</v>
      </c>
      <c r="I470" t="s">
        <v>4626</v>
      </c>
      <c r="J470" t="s">
        <v>4591</v>
      </c>
    </row>
    <row r="471" spans="1:10">
      <c r="A471" t="s">
        <v>4668</v>
      </c>
      <c r="B471" t="s">
        <v>4663</v>
      </c>
      <c r="E471">
        <v>63338.2</v>
      </c>
      <c r="G471">
        <v>0.1</v>
      </c>
      <c r="I471" t="s">
        <v>4626</v>
      </c>
      <c r="J471" t="s">
        <v>4591</v>
      </c>
    </row>
    <row r="472" spans="1:10">
      <c r="A472" t="s">
        <v>4669</v>
      </c>
      <c r="B472" t="s">
        <v>4663</v>
      </c>
      <c r="E472">
        <v>63343.1</v>
      </c>
      <c r="G472">
        <v>0.1</v>
      </c>
      <c r="I472" t="s">
        <v>4626</v>
      </c>
      <c r="J472" t="s">
        <v>4591</v>
      </c>
    </row>
    <row r="473" spans="1:10">
      <c r="A473" t="s">
        <v>4670</v>
      </c>
      <c r="B473" t="s">
        <v>4671</v>
      </c>
      <c r="E473">
        <v>63344.5</v>
      </c>
      <c r="G473">
        <v>0.1</v>
      </c>
      <c r="I473" t="s">
        <v>4626</v>
      </c>
      <c r="J473" t="s">
        <v>4591</v>
      </c>
    </row>
    <row r="474" spans="1:10">
      <c r="A474" t="s">
        <v>4672</v>
      </c>
      <c r="B474" t="s">
        <v>4673</v>
      </c>
      <c r="E474">
        <v>63346.7</v>
      </c>
      <c r="G474">
        <v>0.1</v>
      </c>
      <c r="I474" t="s">
        <v>4626</v>
      </c>
      <c r="J474" t="s">
        <v>4591</v>
      </c>
    </row>
    <row r="475" spans="1:10">
      <c r="A475" t="s">
        <v>4672</v>
      </c>
      <c r="B475" t="s">
        <v>4663</v>
      </c>
      <c r="E475">
        <v>63347.7</v>
      </c>
      <c r="G475">
        <v>0.1</v>
      </c>
      <c r="I475" t="s">
        <v>4626</v>
      </c>
      <c r="J475" t="s">
        <v>4591</v>
      </c>
    </row>
    <row r="476" spans="1:10">
      <c r="A476" t="s">
        <v>4674</v>
      </c>
      <c r="B476" t="s">
        <v>4671</v>
      </c>
      <c r="E476">
        <v>63349.1</v>
      </c>
      <c r="G476">
        <v>0.1</v>
      </c>
      <c r="I476" t="s">
        <v>4626</v>
      </c>
      <c r="J476" t="s">
        <v>4591</v>
      </c>
    </row>
    <row r="477" spans="1:10">
      <c r="A477" t="s">
        <v>4675</v>
      </c>
      <c r="B477" t="s">
        <v>4673</v>
      </c>
      <c r="E477">
        <v>63351.1</v>
      </c>
      <c r="G477">
        <v>0.1</v>
      </c>
      <c r="I477" t="s">
        <v>4626</v>
      </c>
      <c r="J477" t="s">
        <v>4591</v>
      </c>
    </row>
    <row r="478" spans="1:10">
      <c r="A478" t="s">
        <v>4675</v>
      </c>
      <c r="B478" t="s">
        <v>4663</v>
      </c>
      <c r="E478">
        <v>63351.7</v>
      </c>
      <c r="G478">
        <v>0.1</v>
      </c>
      <c r="I478" t="s">
        <v>4626</v>
      </c>
      <c r="J478" t="s">
        <v>4591</v>
      </c>
    </row>
    <row r="479" spans="1:10">
      <c r="A479" t="s">
        <v>4676</v>
      </c>
      <c r="B479" t="s">
        <v>4671</v>
      </c>
      <c r="E479">
        <v>63353</v>
      </c>
      <c r="G479">
        <v>0.1</v>
      </c>
      <c r="I479" t="s">
        <v>4626</v>
      </c>
      <c r="J479" t="s">
        <v>4591</v>
      </c>
    </row>
    <row r="480" spans="1:10">
      <c r="A480" t="s">
        <v>4677</v>
      </c>
      <c r="B480" t="s">
        <v>4673</v>
      </c>
      <c r="E480">
        <v>63354.8</v>
      </c>
      <c r="G480">
        <v>0.1</v>
      </c>
      <c r="I480" t="s">
        <v>4626</v>
      </c>
      <c r="J480" t="s">
        <v>4591</v>
      </c>
    </row>
    <row r="481" spans="1:10">
      <c r="A481" t="s">
        <v>4677</v>
      </c>
      <c r="B481" t="s">
        <v>4663</v>
      </c>
      <c r="E481">
        <v>63355.6</v>
      </c>
      <c r="G481">
        <v>0.1</v>
      </c>
      <c r="I481" t="s">
        <v>4626</v>
      </c>
      <c r="J481" t="s">
        <v>4591</v>
      </c>
    </row>
    <row r="482" spans="1:10">
      <c r="A482" t="s">
        <v>4678</v>
      </c>
      <c r="B482" t="s">
        <v>4671</v>
      </c>
      <c r="E482">
        <v>63356.800000000003</v>
      </c>
      <c r="G482">
        <v>0.1</v>
      </c>
      <c r="I482" t="s">
        <v>4626</v>
      </c>
      <c r="J482" t="s">
        <v>4591</v>
      </c>
    </row>
    <row r="483" spans="1:10">
      <c r="A483" t="s">
        <v>4679</v>
      </c>
      <c r="B483" t="s">
        <v>4673</v>
      </c>
      <c r="E483">
        <v>63358.400000000001</v>
      </c>
      <c r="G483">
        <v>0.1</v>
      </c>
      <c r="I483" t="s">
        <v>4626</v>
      </c>
      <c r="J483" t="s">
        <v>4591</v>
      </c>
    </row>
    <row r="484" spans="1:10">
      <c r="A484" t="s">
        <v>4679</v>
      </c>
      <c r="B484" t="s">
        <v>4663</v>
      </c>
      <c r="E484">
        <v>63359.199999999997</v>
      </c>
      <c r="G484">
        <v>0.1</v>
      </c>
      <c r="I484" t="s">
        <v>4626</v>
      </c>
      <c r="J484" t="s">
        <v>4591</v>
      </c>
    </row>
    <row r="485" spans="1:10">
      <c r="A485" t="s">
        <v>4680</v>
      </c>
      <c r="B485" t="s">
        <v>4671</v>
      </c>
      <c r="E485">
        <v>63360.3</v>
      </c>
      <c r="G485">
        <v>0.1</v>
      </c>
      <c r="I485" t="s">
        <v>4626</v>
      </c>
      <c r="J485" t="s">
        <v>4591</v>
      </c>
    </row>
    <row r="486" spans="1:10">
      <c r="A486" t="s">
        <v>4681</v>
      </c>
      <c r="B486" t="s">
        <v>4673</v>
      </c>
      <c r="E486">
        <v>63361.599999999999</v>
      </c>
      <c r="G486">
        <v>0.1</v>
      </c>
      <c r="I486" t="s">
        <v>4626</v>
      </c>
      <c r="J486" t="s">
        <v>4591</v>
      </c>
    </row>
    <row r="487" spans="1:10">
      <c r="A487" t="s">
        <v>4681</v>
      </c>
      <c r="B487" t="s">
        <v>4663</v>
      </c>
      <c r="E487">
        <v>63362.400000000001</v>
      </c>
      <c r="G487">
        <v>0.1</v>
      </c>
      <c r="I487" t="s">
        <v>4626</v>
      </c>
      <c r="J487" t="s">
        <v>4591</v>
      </c>
    </row>
    <row r="488" spans="1:10">
      <c r="A488" t="s">
        <v>4682</v>
      </c>
      <c r="B488" t="s">
        <v>4671</v>
      </c>
      <c r="E488">
        <v>63363.4</v>
      </c>
      <c r="G488">
        <v>0.1</v>
      </c>
      <c r="I488" t="s">
        <v>4626</v>
      </c>
      <c r="J488" t="s">
        <v>4591</v>
      </c>
    </row>
    <row r="489" spans="1:10">
      <c r="A489" t="s">
        <v>4683</v>
      </c>
      <c r="B489" t="s">
        <v>4673</v>
      </c>
      <c r="E489">
        <v>63364.7</v>
      </c>
      <c r="G489">
        <v>0.1</v>
      </c>
      <c r="I489" t="s">
        <v>4626</v>
      </c>
      <c r="J489" t="s">
        <v>4591</v>
      </c>
    </row>
    <row r="490" spans="1:10">
      <c r="A490" t="s">
        <v>4683</v>
      </c>
      <c r="B490" t="s">
        <v>4663</v>
      </c>
      <c r="E490">
        <v>63365.599999999999</v>
      </c>
      <c r="G490">
        <v>0.1</v>
      </c>
      <c r="I490" t="s">
        <v>4626</v>
      </c>
      <c r="J490" t="s">
        <v>4591</v>
      </c>
    </row>
    <row r="491" spans="1:10">
      <c r="A491" t="s">
        <v>4684</v>
      </c>
      <c r="B491" t="s">
        <v>4671</v>
      </c>
      <c r="E491">
        <v>63366.400000000001</v>
      </c>
      <c r="G491">
        <v>0.1</v>
      </c>
      <c r="I491" t="s">
        <v>4626</v>
      </c>
      <c r="J491" t="s">
        <v>4591</v>
      </c>
    </row>
    <row r="492" spans="1:10">
      <c r="A492" t="s">
        <v>4685</v>
      </c>
      <c r="B492" t="s">
        <v>4673</v>
      </c>
      <c r="E492">
        <v>63367.6</v>
      </c>
      <c r="G492">
        <v>0.1</v>
      </c>
      <c r="I492" t="s">
        <v>4626</v>
      </c>
      <c r="J492" t="s">
        <v>4591</v>
      </c>
    </row>
    <row r="493" spans="1:10">
      <c r="A493" t="s">
        <v>4685</v>
      </c>
      <c r="B493" t="s">
        <v>4663</v>
      </c>
      <c r="E493">
        <v>63368.4</v>
      </c>
      <c r="G493">
        <v>0.1</v>
      </c>
      <c r="I493" t="s">
        <v>4626</v>
      </c>
      <c r="J493" t="s">
        <v>4591</v>
      </c>
    </row>
    <row r="494" spans="1:10">
      <c r="A494" t="s">
        <v>4686</v>
      </c>
      <c r="B494" t="s">
        <v>4671</v>
      </c>
      <c r="E494">
        <v>63369.2</v>
      </c>
      <c r="G494">
        <v>0.1</v>
      </c>
      <c r="I494" t="s">
        <v>4626</v>
      </c>
      <c r="J494" t="s">
        <v>4591</v>
      </c>
    </row>
    <row r="495" spans="1:10">
      <c r="A495" t="s">
        <v>4687</v>
      </c>
      <c r="B495" t="s">
        <v>4673</v>
      </c>
      <c r="E495">
        <v>63370.2</v>
      </c>
      <c r="G495">
        <v>0.1</v>
      </c>
      <c r="I495" t="s">
        <v>4626</v>
      </c>
      <c r="J495" t="s">
        <v>4591</v>
      </c>
    </row>
    <row r="496" spans="1:10">
      <c r="A496" t="s">
        <v>4687</v>
      </c>
      <c r="B496" t="s">
        <v>4663</v>
      </c>
      <c r="E496">
        <v>63371.1</v>
      </c>
      <c r="G496">
        <v>0.1</v>
      </c>
      <c r="I496" t="s">
        <v>4626</v>
      </c>
      <c r="J496" t="s">
        <v>4591</v>
      </c>
    </row>
    <row r="497" spans="1:10">
      <c r="A497" t="s">
        <v>4688</v>
      </c>
      <c r="B497" t="s">
        <v>4671</v>
      </c>
      <c r="E497">
        <v>63371.8</v>
      </c>
      <c r="G497">
        <v>0.1</v>
      </c>
      <c r="I497" t="s">
        <v>4626</v>
      </c>
      <c r="J497" t="s">
        <v>4591</v>
      </c>
    </row>
    <row r="498" spans="1:10">
      <c r="A498" t="s">
        <v>4689</v>
      </c>
      <c r="B498" t="s">
        <v>4673</v>
      </c>
      <c r="E498">
        <v>63372.800000000003</v>
      </c>
      <c r="G498">
        <v>0.1</v>
      </c>
      <c r="I498" t="s">
        <v>4626</v>
      </c>
      <c r="J498" t="s">
        <v>4591</v>
      </c>
    </row>
    <row r="499" spans="1:10">
      <c r="A499" t="s">
        <v>4689</v>
      </c>
      <c r="B499" t="s">
        <v>4663</v>
      </c>
      <c r="E499">
        <v>63373.5</v>
      </c>
      <c r="G499">
        <v>0.1</v>
      </c>
      <c r="I499" t="s">
        <v>4626</v>
      </c>
      <c r="J499" t="s">
        <v>4591</v>
      </c>
    </row>
    <row r="500" spans="1:10">
      <c r="A500" t="s">
        <v>4690</v>
      </c>
      <c r="B500" t="s">
        <v>4671</v>
      </c>
      <c r="E500">
        <v>63374.5</v>
      </c>
      <c r="G500">
        <v>0.1</v>
      </c>
      <c r="I500" t="s">
        <v>4626</v>
      </c>
      <c r="J500" t="s">
        <v>4591</v>
      </c>
    </row>
    <row r="501" spans="1:10">
      <c r="A501" t="s">
        <v>4691</v>
      </c>
      <c r="B501" t="s">
        <v>4673</v>
      </c>
      <c r="E501">
        <v>63375</v>
      </c>
      <c r="G501">
        <v>0.1</v>
      </c>
      <c r="I501" t="s">
        <v>4626</v>
      </c>
      <c r="J501" t="s">
        <v>4591</v>
      </c>
    </row>
    <row r="502" spans="1:10">
      <c r="A502" t="s">
        <v>4691</v>
      </c>
      <c r="B502" t="s">
        <v>4663</v>
      </c>
      <c r="E502">
        <v>63375.9</v>
      </c>
      <c r="G502">
        <v>0.1</v>
      </c>
      <c r="I502" t="s">
        <v>4626</v>
      </c>
      <c r="J502" t="s">
        <v>4591</v>
      </c>
    </row>
    <row r="503" spans="1:10">
      <c r="A503" t="s">
        <v>4692</v>
      </c>
      <c r="B503" t="s">
        <v>4673</v>
      </c>
      <c r="E503">
        <v>63377</v>
      </c>
      <c r="G503">
        <v>0.1</v>
      </c>
      <c r="I503" t="s">
        <v>4626</v>
      </c>
      <c r="J503" t="s">
        <v>4591</v>
      </c>
    </row>
    <row r="504" spans="1:10">
      <c r="A504" t="s">
        <v>4692</v>
      </c>
      <c r="B504" t="s">
        <v>4663</v>
      </c>
      <c r="E504">
        <v>63378.2</v>
      </c>
      <c r="G504">
        <v>0.1</v>
      </c>
      <c r="I504" t="s">
        <v>4626</v>
      </c>
      <c r="J504" t="s">
        <v>4591</v>
      </c>
    </row>
    <row r="505" spans="1:10">
      <c r="A505" t="s">
        <v>4693</v>
      </c>
      <c r="B505" t="s">
        <v>4673</v>
      </c>
      <c r="E505">
        <v>63379.3</v>
      </c>
      <c r="G505">
        <v>0.1</v>
      </c>
      <c r="I505" t="s">
        <v>4626</v>
      </c>
      <c r="J505" t="s">
        <v>4591</v>
      </c>
    </row>
    <row r="506" spans="1:10">
      <c r="A506" t="s">
        <v>4693</v>
      </c>
      <c r="B506" t="s">
        <v>4663</v>
      </c>
      <c r="E506">
        <v>63380.2</v>
      </c>
      <c r="G506">
        <v>0.1</v>
      </c>
      <c r="I506" t="s">
        <v>4626</v>
      </c>
      <c r="J506" t="s">
        <v>4591</v>
      </c>
    </row>
    <row r="507" spans="1:10">
      <c r="A507" t="s">
        <v>4694</v>
      </c>
      <c r="B507" t="s">
        <v>4663</v>
      </c>
      <c r="E507">
        <v>63382.1</v>
      </c>
      <c r="G507">
        <v>0.1</v>
      </c>
      <c r="I507" t="s">
        <v>4626</v>
      </c>
      <c r="J507" t="s">
        <v>4591</v>
      </c>
    </row>
    <row r="508" spans="1:10">
      <c r="A508" t="s">
        <v>4695</v>
      </c>
      <c r="B508" t="s">
        <v>4663</v>
      </c>
      <c r="E508">
        <v>63383.9</v>
      </c>
      <c r="G508">
        <v>0.1</v>
      </c>
      <c r="I508" t="s">
        <v>4626</v>
      </c>
      <c r="J508" t="s">
        <v>4591</v>
      </c>
    </row>
    <row r="509" spans="1:10">
      <c r="A509" t="s">
        <v>4696</v>
      </c>
      <c r="B509" t="s">
        <v>202</v>
      </c>
      <c r="C509" t="s">
        <v>203</v>
      </c>
      <c r="E509">
        <v>63427.7</v>
      </c>
      <c r="G509">
        <v>0.8</v>
      </c>
      <c r="I509" t="s">
        <v>4626</v>
      </c>
      <c r="J509" t="s">
        <v>4697</v>
      </c>
    </row>
    <row r="510" spans="1:10">
      <c r="B510" t="s">
        <v>291</v>
      </c>
      <c r="C510">
        <v>6</v>
      </c>
      <c r="E510">
        <v>63532.78</v>
      </c>
      <c r="G510">
        <v>0.1</v>
      </c>
      <c r="I510" t="s">
        <v>4626</v>
      </c>
      <c r="J510" t="s">
        <v>4591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4275-3A00-4FA0-A59E-F64EC60D5F20}">
  <dimension ref="A1:I292"/>
  <sheetViews>
    <sheetView workbookViewId="0">
      <selection sqref="A1:I1048576"/>
    </sheetView>
  </sheetViews>
  <sheetFormatPr defaultRowHeight="15"/>
  <cols>
    <col min="1" max="1" width="18" bestFit="1" customWidth="1"/>
    <col min="2" max="2" width="7" bestFit="1" customWidth="1"/>
    <col min="3" max="3" width="4.855468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10.140625" bestFit="1" customWidth="1"/>
  </cols>
  <sheetData>
    <row r="1" spans="1:9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4698</v>
      </c>
      <c r="B2" t="s">
        <v>1095</v>
      </c>
      <c r="C2" s="2" t="s">
        <v>249</v>
      </c>
      <c r="E2">
        <v>0</v>
      </c>
      <c r="H2">
        <v>1.95</v>
      </c>
      <c r="I2" t="s">
        <v>12</v>
      </c>
    </row>
    <row r="3" spans="1:9">
      <c r="A3" t="s">
        <v>4698</v>
      </c>
      <c r="B3" t="s">
        <v>1043</v>
      </c>
      <c r="C3" s="2" t="s">
        <v>249</v>
      </c>
      <c r="E3">
        <v>11583.96</v>
      </c>
      <c r="H3">
        <v>1.278</v>
      </c>
    </row>
    <row r="4" spans="1:9">
      <c r="A4" t="s">
        <v>4698</v>
      </c>
      <c r="B4" t="s">
        <v>1043</v>
      </c>
      <c r="C4" s="2" t="s">
        <v>250</v>
      </c>
      <c r="E4">
        <v>13826.12</v>
      </c>
      <c r="H4">
        <v>1.4850000000000001</v>
      </c>
    </row>
    <row r="5" spans="1:9">
      <c r="A5" t="s">
        <v>4698</v>
      </c>
      <c r="B5" t="s">
        <v>1043</v>
      </c>
      <c r="C5" s="2" t="s">
        <v>248</v>
      </c>
      <c r="E5">
        <v>15165.89</v>
      </c>
      <c r="H5">
        <v>2.3679999999999999</v>
      </c>
    </row>
    <row r="6" spans="1:9">
      <c r="A6" t="s">
        <v>4699</v>
      </c>
      <c r="B6" t="s">
        <v>1040</v>
      </c>
      <c r="C6" s="2" t="s">
        <v>252</v>
      </c>
      <c r="E6">
        <v>11754.52</v>
      </c>
      <c r="H6">
        <v>1.5449999999999999</v>
      </c>
    </row>
    <row r="7" spans="1:9">
      <c r="A7" t="s">
        <v>4699</v>
      </c>
      <c r="B7" t="s">
        <v>1040</v>
      </c>
      <c r="C7" s="2" t="s">
        <v>251</v>
      </c>
      <c r="E7">
        <v>14216.86</v>
      </c>
      <c r="H7">
        <v>1.5669999999999999</v>
      </c>
    </row>
    <row r="8" spans="1:9">
      <c r="A8" t="s">
        <v>4699</v>
      </c>
      <c r="B8" t="s">
        <v>1040</v>
      </c>
      <c r="C8" s="2" t="s">
        <v>249</v>
      </c>
      <c r="E8">
        <v>15770.42</v>
      </c>
      <c r="H8">
        <v>1.3089999999999999</v>
      </c>
    </row>
    <row r="9" spans="1:9">
      <c r="A9" t="s">
        <v>4699</v>
      </c>
      <c r="B9" t="s">
        <v>1040</v>
      </c>
      <c r="C9" s="2" t="s">
        <v>250</v>
      </c>
      <c r="E9">
        <v>16327.51</v>
      </c>
      <c r="H9">
        <v>1.706</v>
      </c>
    </row>
    <row r="10" spans="1:9">
      <c r="A10" t="s">
        <v>4699</v>
      </c>
      <c r="B10" t="s">
        <v>1040</v>
      </c>
      <c r="C10" s="2" t="s">
        <v>248</v>
      </c>
      <c r="E10">
        <v>17238.3</v>
      </c>
      <c r="H10">
        <v>2.5209999999999999</v>
      </c>
    </row>
    <row r="11" spans="1:9">
      <c r="A11" t="s">
        <v>4698</v>
      </c>
      <c r="B11" t="s">
        <v>1074</v>
      </c>
      <c r="C11" s="2" t="s">
        <v>249</v>
      </c>
      <c r="E11">
        <v>14621.46</v>
      </c>
      <c r="H11">
        <v>1.151</v>
      </c>
    </row>
    <row r="12" spans="1:9">
      <c r="A12" t="s">
        <v>4698</v>
      </c>
      <c r="B12" t="s">
        <v>1074</v>
      </c>
      <c r="C12" s="2" t="s">
        <v>251</v>
      </c>
      <c r="E12">
        <v>15058.19</v>
      </c>
      <c r="H12">
        <v>1.153</v>
      </c>
    </row>
    <row r="13" spans="1:9">
      <c r="A13" t="s">
        <v>4698</v>
      </c>
      <c r="B13" t="s">
        <v>1074</v>
      </c>
      <c r="C13" s="2" t="s">
        <v>1702</v>
      </c>
      <c r="E13">
        <v>16307.15</v>
      </c>
      <c r="H13">
        <v>1.242</v>
      </c>
    </row>
    <row r="14" spans="1:9">
      <c r="A14" t="s">
        <v>4698</v>
      </c>
      <c r="B14" t="s">
        <v>1074</v>
      </c>
      <c r="C14" s="2" t="s">
        <v>252</v>
      </c>
      <c r="E14">
        <v>16619.28</v>
      </c>
      <c r="H14">
        <v>1.175</v>
      </c>
    </row>
    <row r="15" spans="1:9">
      <c r="A15" t="s">
        <v>4698</v>
      </c>
      <c r="B15" t="s">
        <v>1041</v>
      </c>
      <c r="C15" s="2" t="s">
        <v>251</v>
      </c>
      <c r="E15">
        <v>17330.82</v>
      </c>
      <c r="H15">
        <v>1.2549999999999999</v>
      </c>
    </row>
    <row r="16" spans="1:9">
      <c r="A16" t="s">
        <v>4698</v>
      </c>
      <c r="B16" t="s">
        <v>1041</v>
      </c>
      <c r="C16" s="2" t="s">
        <v>249</v>
      </c>
      <c r="E16">
        <v>19457.89</v>
      </c>
      <c r="H16">
        <v>1.361</v>
      </c>
    </row>
    <row r="17" spans="1:8">
      <c r="A17" t="s">
        <v>4698</v>
      </c>
      <c r="B17" t="s">
        <v>1041</v>
      </c>
      <c r="C17" s="2" t="s">
        <v>248</v>
      </c>
      <c r="E17">
        <v>19757.91</v>
      </c>
      <c r="H17">
        <v>0.98299999999999998</v>
      </c>
    </row>
    <row r="18" spans="1:8">
      <c r="A18" t="s">
        <v>4698</v>
      </c>
      <c r="B18" t="s">
        <v>1041</v>
      </c>
      <c r="C18" s="2" t="s">
        <v>250</v>
      </c>
      <c r="E18">
        <v>20481.73</v>
      </c>
      <c r="H18">
        <v>1.4510000000000001</v>
      </c>
    </row>
    <row r="19" spans="1:8">
      <c r="A19" t="s">
        <v>4700</v>
      </c>
      <c r="B19" t="s">
        <v>2144</v>
      </c>
      <c r="C19" s="2" t="s">
        <v>249</v>
      </c>
      <c r="E19">
        <v>18950.099999999999</v>
      </c>
      <c r="H19">
        <v>2.274</v>
      </c>
    </row>
    <row r="20" spans="1:8">
      <c r="A20" t="s">
        <v>4700</v>
      </c>
      <c r="B20" t="s">
        <v>2144</v>
      </c>
      <c r="C20" s="2" t="s">
        <v>251</v>
      </c>
      <c r="E20">
        <v>20447.8</v>
      </c>
      <c r="H20">
        <v>1.9259999999999999</v>
      </c>
    </row>
    <row r="21" spans="1:8">
      <c r="A21" t="s">
        <v>4700</v>
      </c>
      <c r="B21" t="s">
        <v>2144</v>
      </c>
      <c r="C21" s="2" t="s">
        <v>252</v>
      </c>
      <c r="E21">
        <v>23631.82</v>
      </c>
      <c r="H21">
        <v>1.768</v>
      </c>
    </row>
    <row r="22" spans="1:8">
      <c r="A22" t="s">
        <v>4698</v>
      </c>
      <c r="B22" t="s">
        <v>1091</v>
      </c>
      <c r="C22" s="2" t="s">
        <v>251</v>
      </c>
      <c r="E22">
        <v>21775.4</v>
      </c>
      <c r="H22">
        <v>1.135</v>
      </c>
    </row>
    <row r="23" spans="1:8">
      <c r="A23" t="s">
        <v>4698</v>
      </c>
      <c r="B23" t="s">
        <v>1091</v>
      </c>
      <c r="C23" s="2" t="s">
        <v>249</v>
      </c>
      <c r="E23">
        <v>24425.4</v>
      </c>
      <c r="H23">
        <v>1.0669999999999999</v>
      </c>
    </row>
    <row r="24" spans="1:8">
      <c r="A24" t="s">
        <v>4698</v>
      </c>
      <c r="B24" t="s">
        <v>1047</v>
      </c>
      <c r="C24" s="2" t="s">
        <v>252</v>
      </c>
      <c r="E24">
        <v>22160.04</v>
      </c>
      <c r="H24">
        <v>1.198</v>
      </c>
    </row>
    <row r="25" spans="1:8">
      <c r="A25" t="s">
        <v>4698</v>
      </c>
      <c r="B25" t="s">
        <v>1047</v>
      </c>
      <c r="C25" s="2" t="s">
        <v>251</v>
      </c>
      <c r="E25">
        <v>24724.22</v>
      </c>
      <c r="H25">
        <v>1.03</v>
      </c>
    </row>
    <row r="26" spans="1:8">
      <c r="A26" t="s">
        <v>4698</v>
      </c>
      <c r="B26" t="s">
        <v>2542</v>
      </c>
      <c r="C26" s="2" t="s">
        <v>250</v>
      </c>
      <c r="E26">
        <v>22422.83</v>
      </c>
      <c r="H26">
        <v>0.78100000000000003</v>
      </c>
    </row>
    <row r="27" spans="1:8">
      <c r="A27" t="s">
        <v>4698</v>
      </c>
      <c r="B27" t="s">
        <v>2542</v>
      </c>
      <c r="C27" s="2" t="s">
        <v>249</v>
      </c>
      <c r="E27">
        <v>23154.81</v>
      </c>
      <c r="H27">
        <v>1.1890000000000001</v>
      </c>
    </row>
    <row r="28" spans="1:8">
      <c r="A28" t="s">
        <v>4698</v>
      </c>
      <c r="B28" t="s">
        <v>2159</v>
      </c>
      <c r="C28" s="2" t="s">
        <v>1702</v>
      </c>
      <c r="E28">
        <v>23956</v>
      </c>
      <c r="H28">
        <v>0.995</v>
      </c>
    </row>
    <row r="29" spans="1:8">
      <c r="A29" t="s">
        <v>4698</v>
      </c>
      <c r="B29" t="s">
        <v>2159</v>
      </c>
      <c r="C29" s="2" t="s">
        <v>720</v>
      </c>
      <c r="E29">
        <v>26348.959999999999</v>
      </c>
      <c r="H29">
        <v>1.1000000000000001</v>
      </c>
    </row>
    <row r="30" spans="1:8">
      <c r="A30" t="s">
        <v>4698</v>
      </c>
      <c r="B30" t="s">
        <v>1034</v>
      </c>
      <c r="C30" s="2" t="s">
        <v>250</v>
      </c>
      <c r="E30">
        <v>26131.57</v>
      </c>
      <c r="H30">
        <v>0.65</v>
      </c>
    </row>
    <row r="31" spans="1:8">
      <c r="A31" t="s">
        <v>4698</v>
      </c>
      <c r="B31" t="s">
        <v>1034</v>
      </c>
      <c r="C31" s="2" t="s">
        <v>252</v>
      </c>
      <c r="E31">
        <v>27514.31</v>
      </c>
      <c r="H31">
        <v>1.1299999999999999</v>
      </c>
    </row>
    <row r="32" spans="1:8">
      <c r="A32" t="s">
        <v>4698</v>
      </c>
      <c r="B32" t="s">
        <v>1034</v>
      </c>
      <c r="C32" s="2" t="s">
        <v>249</v>
      </c>
      <c r="E32">
        <v>28030.32</v>
      </c>
      <c r="H32">
        <v>1.1200000000000001</v>
      </c>
    </row>
    <row r="33" spans="1:8">
      <c r="A33" t="s">
        <v>4698</v>
      </c>
      <c r="B33" t="s">
        <v>1034</v>
      </c>
      <c r="C33" s="2" t="s">
        <v>251</v>
      </c>
      <c r="E33">
        <v>28542.13</v>
      </c>
    </row>
    <row r="34" spans="1:8">
      <c r="A34" t="s">
        <v>4701</v>
      </c>
      <c r="B34" t="s">
        <v>1060</v>
      </c>
      <c r="C34" s="2" t="s">
        <v>248</v>
      </c>
    </row>
    <row r="35" spans="1:8">
      <c r="A35" t="s">
        <v>4701</v>
      </c>
      <c r="B35" t="s">
        <v>1060</v>
      </c>
      <c r="C35" s="2" t="s">
        <v>249</v>
      </c>
      <c r="E35">
        <v>26661.43</v>
      </c>
      <c r="H35">
        <v>1.32</v>
      </c>
    </row>
    <row r="36" spans="1:8">
      <c r="A36" t="s">
        <v>4701</v>
      </c>
      <c r="B36" t="s">
        <v>1060</v>
      </c>
      <c r="C36" s="2" t="s">
        <v>250</v>
      </c>
      <c r="E36">
        <v>30526.6</v>
      </c>
    </row>
    <row r="37" spans="1:8">
      <c r="A37" t="s">
        <v>4702</v>
      </c>
      <c r="B37" t="s">
        <v>1056</v>
      </c>
      <c r="C37" s="2" t="s">
        <v>720</v>
      </c>
      <c r="E37">
        <v>27130.14</v>
      </c>
      <c r="H37">
        <v>1.208</v>
      </c>
    </row>
    <row r="38" spans="1:8">
      <c r="A38" t="s">
        <v>4702</v>
      </c>
      <c r="B38" t="s">
        <v>1056</v>
      </c>
      <c r="C38" s="2" t="s">
        <v>252</v>
      </c>
      <c r="E38">
        <v>27161.35</v>
      </c>
    </row>
    <row r="39" spans="1:8">
      <c r="A39" t="s">
        <v>4702</v>
      </c>
      <c r="B39" t="s">
        <v>1056</v>
      </c>
      <c r="C39" s="2" t="s">
        <v>1702</v>
      </c>
      <c r="E39">
        <v>27243.88</v>
      </c>
      <c r="H39">
        <v>1.18</v>
      </c>
    </row>
    <row r="40" spans="1:8">
      <c r="A40" t="s">
        <v>4702</v>
      </c>
      <c r="B40" t="s">
        <v>1056</v>
      </c>
      <c r="C40" s="2" t="s">
        <v>251</v>
      </c>
      <c r="E40">
        <v>28809.87</v>
      </c>
      <c r="H40">
        <v>0.93</v>
      </c>
    </row>
    <row r="41" spans="1:8">
      <c r="A41" t="s">
        <v>4699</v>
      </c>
      <c r="B41" t="s">
        <v>1104</v>
      </c>
      <c r="C41" s="2" t="s">
        <v>251</v>
      </c>
      <c r="E41">
        <v>27141.13</v>
      </c>
      <c r="H41">
        <v>1.34</v>
      </c>
    </row>
    <row r="42" spans="1:8">
      <c r="A42" t="s">
        <v>4699</v>
      </c>
      <c r="B42" t="s">
        <v>1104</v>
      </c>
      <c r="C42" s="2" t="s">
        <v>250</v>
      </c>
      <c r="E42">
        <v>27827.65</v>
      </c>
      <c r="H42">
        <v>0.88800000000000001</v>
      </c>
    </row>
    <row r="43" spans="1:8">
      <c r="A43" t="s">
        <v>4699</v>
      </c>
      <c r="B43" t="s">
        <v>1104</v>
      </c>
      <c r="C43" s="2" t="s">
        <v>249</v>
      </c>
      <c r="E43">
        <v>29800.38</v>
      </c>
      <c r="H43">
        <v>1.17</v>
      </c>
    </row>
    <row r="44" spans="1:8">
      <c r="A44" t="s">
        <v>4699</v>
      </c>
      <c r="B44" t="s">
        <v>1104</v>
      </c>
      <c r="C44" s="2" t="s">
        <v>248</v>
      </c>
      <c r="E44">
        <v>30131.57</v>
      </c>
    </row>
    <row r="45" spans="1:8">
      <c r="A45" t="s">
        <v>4698</v>
      </c>
      <c r="B45" t="s">
        <v>4703</v>
      </c>
      <c r="C45" s="2" t="s">
        <v>248</v>
      </c>
      <c r="E45">
        <v>27384.799999999999</v>
      </c>
    </row>
    <row r="46" spans="1:8">
      <c r="A46" t="s">
        <v>4700</v>
      </c>
      <c r="B46" t="s">
        <v>1139</v>
      </c>
      <c r="C46" s="2" t="s">
        <v>249</v>
      </c>
      <c r="E46">
        <v>28854.18</v>
      </c>
      <c r="H46">
        <v>1.871</v>
      </c>
    </row>
    <row r="47" spans="1:8">
      <c r="A47" t="s">
        <v>4700</v>
      </c>
      <c r="B47" t="s">
        <v>1139</v>
      </c>
      <c r="C47" s="2" t="s">
        <v>251</v>
      </c>
      <c r="E47">
        <v>28889.72</v>
      </c>
      <c r="H47">
        <v>1.7090000000000001</v>
      </c>
    </row>
    <row r="48" spans="1:8">
      <c r="A48" t="s">
        <v>4700</v>
      </c>
      <c r="B48" t="s">
        <v>1139</v>
      </c>
      <c r="C48" s="2" t="s">
        <v>250</v>
      </c>
      <c r="E48">
        <v>28961.55</v>
      </c>
      <c r="H48">
        <v>2.3330000000000002</v>
      </c>
    </row>
    <row r="49" spans="1:8">
      <c r="A49" t="s">
        <v>4698</v>
      </c>
      <c r="B49" t="s">
        <v>1064</v>
      </c>
      <c r="C49" s="2" t="s">
        <v>1702</v>
      </c>
      <c r="E49">
        <v>30559.91</v>
      </c>
      <c r="H49">
        <v>1.07</v>
      </c>
    </row>
    <row r="50" spans="1:8">
      <c r="A50" t="s">
        <v>4698</v>
      </c>
      <c r="B50" t="s">
        <v>1064</v>
      </c>
      <c r="C50" s="2" t="s">
        <v>252</v>
      </c>
      <c r="E50">
        <v>31399.3</v>
      </c>
    </row>
    <row r="51" spans="1:8">
      <c r="A51" t="s">
        <v>4704</v>
      </c>
      <c r="B51" t="s">
        <v>1068</v>
      </c>
      <c r="C51" s="2" t="s">
        <v>251</v>
      </c>
    </row>
    <row r="52" spans="1:8">
      <c r="A52" t="s">
        <v>4704</v>
      </c>
      <c r="B52" t="s">
        <v>1068</v>
      </c>
      <c r="C52" s="2" t="s">
        <v>252</v>
      </c>
      <c r="E52">
        <v>30645.33</v>
      </c>
    </row>
    <row r="53" spans="1:8">
      <c r="A53" t="s">
        <v>4704</v>
      </c>
      <c r="B53" t="s">
        <v>1068</v>
      </c>
      <c r="C53" s="2" t="s">
        <v>249</v>
      </c>
      <c r="E53">
        <v>31186.080000000002</v>
      </c>
      <c r="H53">
        <v>1.17</v>
      </c>
    </row>
    <row r="54" spans="1:8">
      <c r="A54" t="s">
        <v>4704</v>
      </c>
      <c r="B54" t="s">
        <v>1068</v>
      </c>
      <c r="C54" s="2" t="s">
        <v>250</v>
      </c>
      <c r="E54">
        <v>31460.62</v>
      </c>
    </row>
    <row r="55" spans="1:8">
      <c r="A55" t="s">
        <v>4698</v>
      </c>
      <c r="B55" t="s">
        <v>4705</v>
      </c>
      <c r="C55" s="2" t="s">
        <v>251</v>
      </c>
      <c r="E55">
        <v>31982.99</v>
      </c>
    </row>
    <row r="56" spans="1:8">
      <c r="A56" t="s">
        <v>4698</v>
      </c>
      <c r="B56" t="s">
        <v>4705</v>
      </c>
      <c r="C56" s="2" t="s">
        <v>249</v>
      </c>
      <c r="E56">
        <v>32435.14</v>
      </c>
    </row>
    <row r="57" spans="1:8">
      <c r="A57" t="s">
        <v>4706</v>
      </c>
      <c r="B57" t="s">
        <v>1075</v>
      </c>
      <c r="C57" s="2" t="s">
        <v>248</v>
      </c>
      <c r="E57">
        <v>32443.61</v>
      </c>
      <c r="H57">
        <v>1.762</v>
      </c>
    </row>
    <row r="58" spans="1:8">
      <c r="A58" t="s">
        <v>4706</v>
      </c>
      <c r="B58" t="s">
        <v>1075</v>
      </c>
      <c r="C58" s="2" t="s">
        <v>250</v>
      </c>
      <c r="E58">
        <v>32591.63</v>
      </c>
      <c r="H58">
        <v>1.5</v>
      </c>
    </row>
    <row r="59" spans="1:8">
      <c r="A59" t="s">
        <v>4706</v>
      </c>
      <c r="B59" t="s">
        <v>1075</v>
      </c>
      <c r="C59" s="2" t="s">
        <v>249</v>
      </c>
      <c r="E59">
        <v>33408.730000000003</v>
      </c>
      <c r="H59">
        <v>1.454</v>
      </c>
    </row>
    <row r="60" spans="1:8">
      <c r="A60" t="s">
        <v>4706</v>
      </c>
      <c r="B60" t="s">
        <v>1075</v>
      </c>
      <c r="C60" s="2" t="s">
        <v>251</v>
      </c>
      <c r="E60">
        <v>34520.25</v>
      </c>
      <c r="H60">
        <v>1.44</v>
      </c>
    </row>
    <row r="61" spans="1:8">
      <c r="A61" t="s">
        <v>4706</v>
      </c>
      <c r="B61" t="s">
        <v>1075</v>
      </c>
      <c r="C61" s="2" t="s">
        <v>252</v>
      </c>
      <c r="E61">
        <v>35923.019999999997</v>
      </c>
    </row>
    <row r="62" spans="1:8">
      <c r="A62" t="s">
        <v>4707</v>
      </c>
      <c r="B62" t="s">
        <v>2162</v>
      </c>
      <c r="C62" s="2" t="s">
        <v>249</v>
      </c>
      <c r="E62">
        <v>33281.65</v>
      </c>
    </row>
    <row r="63" spans="1:8">
      <c r="A63" t="s">
        <v>4707</v>
      </c>
      <c r="B63" t="s">
        <v>2162</v>
      </c>
      <c r="C63" s="2" t="s">
        <v>1702</v>
      </c>
      <c r="E63">
        <v>33317.57</v>
      </c>
    </row>
    <row r="64" spans="1:8">
      <c r="A64" t="s">
        <v>4707</v>
      </c>
      <c r="B64" t="s">
        <v>2162</v>
      </c>
      <c r="C64" s="2" t="s">
        <v>251</v>
      </c>
      <c r="E64">
        <v>33823.660000000003</v>
      </c>
    </row>
    <row r="65" spans="1:8">
      <c r="A65" t="s">
        <v>4707</v>
      </c>
      <c r="B65" t="s">
        <v>2162</v>
      </c>
      <c r="C65" s="2" t="s">
        <v>252</v>
      </c>
      <c r="E65">
        <v>34194.269999999997</v>
      </c>
    </row>
    <row r="66" spans="1:8">
      <c r="A66" t="s">
        <v>4706</v>
      </c>
      <c r="B66" t="s">
        <v>1182</v>
      </c>
      <c r="C66" s="2" t="s">
        <v>251</v>
      </c>
    </row>
    <row r="67" spans="1:8">
      <c r="A67" t="s">
        <v>4706</v>
      </c>
      <c r="B67" t="s">
        <v>1182</v>
      </c>
      <c r="C67" s="2" t="s">
        <v>249</v>
      </c>
    </row>
    <row r="68" spans="1:8">
      <c r="A68" t="s">
        <v>4706</v>
      </c>
      <c r="B68" t="s">
        <v>1182</v>
      </c>
      <c r="C68" s="2" t="s">
        <v>250</v>
      </c>
      <c r="E68">
        <v>33589.120000000003</v>
      </c>
      <c r="H68">
        <v>2.335</v>
      </c>
    </row>
    <row r="69" spans="1:8">
      <c r="A69" t="s">
        <v>4708</v>
      </c>
      <c r="B69" t="s">
        <v>1143</v>
      </c>
      <c r="C69" s="2" t="s">
        <v>249</v>
      </c>
      <c r="E69">
        <v>35267.94</v>
      </c>
      <c r="H69">
        <v>1.385</v>
      </c>
    </row>
    <row r="70" spans="1:8">
      <c r="A70" t="s">
        <v>4708</v>
      </c>
      <c r="B70" t="s">
        <v>1143</v>
      </c>
      <c r="C70" s="2" t="s">
        <v>248</v>
      </c>
      <c r="E70">
        <v>37797.949999999997</v>
      </c>
      <c r="H70">
        <v>2.62</v>
      </c>
    </row>
    <row r="71" spans="1:8">
      <c r="A71" t="s">
        <v>4708</v>
      </c>
      <c r="B71" t="s">
        <v>1143</v>
      </c>
      <c r="C71" s="2" t="s">
        <v>250</v>
      </c>
      <c r="E71">
        <v>37915.870000000003</v>
      </c>
      <c r="H71">
        <v>1.4950000000000001</v>
      </c>
    </row>
    <row r="72" spans="1:8">
      <c r="A72" t="s">
        <v>4709</v>
      </c>
      <c r="B72" t="s">
        <v>1072</v>
      </c>
      <c r="C72" s="2" t="s">
        <v>250</v>
      </c>
      <c r="E72">
        <v>37063.65</v>
      </c>
      <c r="H72">
        <v>0.626</v>
      </c>
    </row>
    <row r="73" spans="1:8">
      <c r="A73" t="s">
        <v>4709</v>
      </c>
      <c r="B73" t="s">
        <v>1072</v>
      </c>
      <c r="C73" s="2" t="s">
        <v>249</v>
      </c>
      <c r="E73">
        <v>37381.410000000003</v>
      </c>
      <c r="H73">
        <v>0.99</v>
      </c>
    </row>
    <row r="74" spans="1:8">
      <c r="A74" t="s">
        <v>4709</v>
      </c>
      <c r="B74" t="s">
        <v>1072</v>
      </c>
      <c r="C74" s="2" t="s">
        <v>251</v>
      </c>
      <c r="E74">
        <v>38520.74</v>
      </c>
      <c r="H74">
        <v>1.216</v>
      </c>
    </row>
    <row r="75" spans="1:8">
      <c r="A75" t="s">
        <v>4709</v>
      </c>
      <c r="B75" t="s">
        <v>1072</v>
      </c>
      <c r="C75" s="2" t="s">
        <v>252</v>
      </c>
      <c r="E75">
        <v>38994.730000000003</v>
      </c>
      <c r="H75">
        <v>1.25</v>
      </c>
    </row>
    <row r="76" spans="1:8">
      <c r="A76" t="s">
        <v>4709</v>
      </c>
      <c r="B76" t="s">
        <v>1072</v>
      </c>
      <c r="C76" s="2" t="s">
        <v>1702</v>
      </c>
      <c r="E76">
        <v>39916.39</v>
      </c>
      <c r="H76">
        <v>1.3140000000000001</v>
      </c>
    </row>
    <row r="77" spans="1:8">
      <c r="A77" t="s">
        <v>4709</v>
      </c>
      <c r="B77" t="s">
        <v>1072</v>
      </c>
      <c r="C77" s="2" t="s">
        <v>720</v>
      </c>
      <c r="E77">
        <v>40493.339999999997</v>
      </c>
      <c r="H77">
        <v>1.3640000000000001</v>
      </c>
    </row>
    <row r="78" spans="1:8">
      <c r="A78" t="s">
        <v>4706</v>
      </c>
      <c r="B78" t="s">
        <v>1080</v>
      </c>
      <c r="C78" s="2" t="s">
        <v>248</v>
      </c>
      <c r="E78">
        <v>37381.410000000003</v>
      </c>
    </row>
    <row r="79" spans="1:8">
      <c r="A79" t="s">
        <v>4706</v>
      </c>
      <c r="B79" t="s">
        <v>1080</v>
      </c>
      <c r="C79" s="2" t="s">
        <v>251</v>
      </c>
      <c r="E79">
        <v>37765.65</v>
      </c>
      <c r="H79">
        <v>1.335</v>
      </c>
    </row>
    <row r="80" spans="1:8">
      <c r="A80" t="s">
        <v>4706</v>
      </c>
      <c r="B80" t="s">
        <v>1080</v>
      </c>
      <c r="C80" s="2" t="s">
        <v>249</v>
      </c>
      <c r="E80">
        <v>39064.92</v>
      </c>
      <c r="H80">
        <v>1.335</v>
      </c>
    </row>
    <row r="81" spans="1:8">
      <c r="A81" t="s">
        <v>4706</v>
      </c>
      <c r="B81" t="s">
        <v>1080</v>
      </c>
      <c r="C81" s="2" t="s">
        <v>1702</v>
      </c>
      <c r="E81">
        <v>39196.74</v>
      </c>
      <c r="H81">
        <v>1.405</v>
      </c>
    </row>
    <row r="82" spans="1:8">
      <c r="A82" t="s">
        <v>4706</v>
      </c>
      <c r="B82" t="s">
        <v>1080</v>
      </c>
      <c r="C82" s="2" t="s">
        <v>252</v>
      </c>
      <c r="E82">
        <v>39655.99</v>
      </c>
      <c r="H82">
        <v>1.444</v>
      </c>
    </row>
    <row r="83" spans="1:8">
      <c r="A83" t="s">
        <v>4706</v>
      </c>
      <c r="B83" t="s">
        <v>1080</v>
      </c>
      <c r="C83" s="2" t="s">
        <v>250</v>
      </c>
      <c r="E83">
        <v>39926.75</v>
      </c>
      <c r="H83">
        <v>0.745</v>
      </c>
    </row>
    <row r="84" spans="1:8">
      <c r="B84" t="s">
        <v>4510</v>
      </c>
      <c r="C84" s="2" t="s">
        <v>249</v>
      </c>
      <c r="E84">
        <v>37697.660000000003</v>
      </c>
      <c r="H84">
        <v>1.2190000000000001</v>
      </c>
    </row>
    <row r="85" spans="1:8">
      <c r="B85" t="s">
        <v>4523</v>
      </c>
      <c r="C85" s="2" t="s">
        <v>249</v>
      </c>
      <c r="E85">
        <v>39670.519999999997</v>
      </c>
      <c r="H85">
        <v>1.107</v>
      </c>
    </row>
    <row r="86" spans="1:8">
      <c r="A86" t="s">
        <v>4708</v>
      </c>
      <c r="B86" t="s">
        <v>2192</v>
      </c>
      <c r="C86" s="2" t="s">
        <v>251</v>
      </c>
      <c r="E86">
        <v>39844.75</v>
      </c>
      <c r="H86">
        <v>1.2230000000000001</v>
      </c>
    </row>
    <row r="87" spans="1:8">
      <c r="A87" t="s">
        <v>4708</v>
      </c>
      <c r="B87" t="s">
        <v>2192</v>
      </c>
      <c r="C87" s="2" t="s">
        <v>249</v>
      </c>
      <c r="E87">
        <v>43569.36</v>
      </c>
      <c r="H87">
        <v>1.504</v>
      </c>
    </row>
    <row r="88" spans="1:8">
      <c r="A88" t="s">
        <v>4708</v>
      </c>
      <c r="B88" t="s">
        <v>2192</v>
      </c>
      <c r="C88" s="2" t="s">
        <v>250</v>
      </c>
      <c r="E88">
        <v>43702.2</v>
      </c>
      <c r="H88">
        <v>1.962</v>
      </c>
    </row>
    <row r="89" spans="1:8">
      <c r="B89" t="s">
        <v>4528</v>
      </c>
      <c r="C89" s="2" t="s">
        <v>250</v>
      </c>
      <c r="E89">
        <v>40808.85</v>
      </c>
      <c r="H89">
        <v>1.351</v>
      </c>
    </row>
    <row r="90" spans="1:8">
      <c r="B90" t="s">
        <v>4528</v>
      </c>
      <c r="C90" s="2" t="s">
        <v>248</v>
      </c>
      <c r="E90">
        <v>40810.17</v>
      </c>
    </row>
    <row r="91" spans="1:8">
      <c r="B91" t="s">
        <v>4528</v>
      </c>
      <c r="C91" s="2" t="s">
        <v>249</v>
      </c>
      <c r="E91">
        <v>40821.83</v>
      </c>
      <c r="H91">
        <v>1.1259999999999999</v>
      </c>
    </row>
    <row r="92" spans="1:8">
      <c r="A92" t="s">
        <v>4710</v>
      </c>
      <c r="B92" t="s">
        <v>1168</v>
      </c>
      <c r="C92" s="2" t="s">
        <v>248</v>
      </c>
    </row>
    <row r="93" spans="1:8">
      <c r="A93" t="s">
        <v>4710</v>
      </c>
      <c r="B93" t="s">
        <v>1168</v>
      </c>
      <c r="C93" s="2" t="s">
        <v>252</v>
      </c>
    </row>
    <row r="94" spans="1:8">
      <c r="A94" t="s">
        <v>4710</v>
      </c>
      <c r="B94" t="s">
        <v>1168</v>
      </c>
      <c r="C94" s="2" t="s">
        <v>251</v>
      </c>
      <c r="E94">
        <v>40946.53</v>
      </c>
      <c r="H94">
        <v>1.534</v>
      </c>
    </row>
    <row r="95" spans="1:8">
      <c r="A95" t="s">
        <v>4710</v>
      </c>
      <c r="B95" t="s">
        <v>1168</v>
      </c>
      <c r="C95" s="2" t="s">
        <v>249</v>
      </c>
      <c r="E95">
        <v>41313.019999999997</v>
      </c>
      <c r="H95">
        <v>1.278</v>
      </c>
    </row>
    <row r="96" spans="1:8">
      <c r="A96" t="s">
        <v>4710</v>
      </c>
      <c r="B96" t="s">
        <v>1168</v>
      </c>
      <c r="C96" s="2" t="s">
        <v>250</v>
      </c>
      <c r="E96">
        <v>41557.08</v>
      </c>
      <c r="H96">
        <v>1.655</v>
      </c>
    </row>
    <row r="97" spans="1:8">
      <c r="B97" t="s">
        <v>3561</v>
      </c>
      <c r="C97" s="2" t="s">
        <v>251</v>
      </c>
      <c r="E97">
        <v>41163.910000000003</v>
      </c>
      <c r="H97">
        <v>1.325</v>
      </c>
    </row>
    <row r="98" spans="1:8">
      <c r="B98" t="s">
        <v>3562</v>
      </c>
      <c r="C98" s="2" t="s">
        <v>252</v>
      </c>
      <c r="E98">
        <v>41453.18</v>
      </c>
      <c r="H98">
        <v>1.3720000000000001</v>
      </c>
    </row>
    <row r="99" spans="1:8">
      <c r="B99" t="s">
        <v>4534</v>
      </c>
      <c r="C99" s="2" t="s">
        <v>251</v>
      </c>
      <c r="E99">
        <v>41843.85</v>
      </c>
      <c r="H99">
        <v>1.19</v>
      </c>
    </row>
    <row r="100" spans="1:8">
      <c r="A100" t="s">
        <v>4710</v>
      </c>
      <c r="B100" t="s">
        <v>1098</v>
      </c>
      <c r="C100" s="2" t="s">
        <v>248</v>
      </c>
      <c r="E100">
        <v>41991.56</v>
      </c>
      <c r="H100">
        <v>0.61</v>
      </c>
    </row>
    <row r="101" spans="1:8">
      <c r="A101" t="s">
        <v>4710</v>
      </c>
      <c r="B101" t="s">
        <v>1098</v>
      </c>
      <c r="C101" s="2" t="s">
        <v>250</v>
      </c>
      <c r="E101">
        <v>42254.19</v>
      </c>
      <c r="H101">
        <v>1.5780000000000001</v>
      </c>
    </row>
    <row r="102" spans="1:8">
      <c r="A102" t="s">
        <v>4710</v>
      </c>
      <c r="B102" t="s">
        <v>1098</v>
      </c>
      <c r="C102" s="2" t="s">
        <v>249</v>
      </c>
      <c r="E102">
        <v>43044.02</v>
      </c>
      <c r="H102">
        <v>1.4490000000000001</v>
      </c>
    </row>
    <row r="103" spans="1:8">
      <c r="A103" t="s">
        <v>4710</v>
      </c>
      <c r="B103" t="s">
        <v>1098</v>
      </c>
      <c r="C103" s="2" t="s">
        <v>251</v>
      </c>
      <c r="E103">
        <v>43407.87</v>
      </c>
      <c r="H103">
        <v>1.3680000000000001</v>
      </c>
    </row>
    <row r="104" spans="1:8">
      <c r="B104" t="s">
        <v>4537</v>
      </c>
      <c r="C104" s="2" t="s">
        <v>252</v>
      </c>
      <c r="E104">
        <v>42140.06</v>
      </c>
      <c r="H104">
        <v>1.2490000000000001</v>
      </c>
    </row>
    <row r="105" spans="1:8">
      <c r="A105" t="s">
        <v>4711</v>
      </c>
      <c r="B105" t="s">
        <v>2173</v>
      </c>
      <c r="C105" s="2" t="s">
        <v>251</v>
      </c>
      <c r="E105">
        <v>42598.27</v>
      </c>
      <c r="H105">
        <v>1.9570000000000001</v>
      </c>
    </row>
    <row r="106" spans="1:8">
      <c r="B106" t="s">
        <v>4547</v>
      </c>
      <c r="C106" s="2" t="s">
        <v>250</v>
      </c>
      <c r="E106">
        <v>43341.85</v>
      </c>
      <c r="H106">
        <v>0.97499999999999998</v>
      </c>
    </row>
    <row r="107" spans="1:8">
      <c r="B107" t="s">
        <v>4548</v>
      </c>
      <c r="C107" s="2" t="s">
        <v>4712</v>
      </c>
      <c r="E107">
        <v>43409.11</v>
      </c>
    </row>
    <row r="108" spans="1:8">
      <c r="B108" t="s">
        <v>4548</v>
      </c>
      <c r="C108" s="2" t="s">
        <v>252</v>
      </c>
      <c r="E108">
        <v>43453.3</v>
      </c>
      <c r="H108">
        <v>1.3360000000000001</v>
      </c>
    </row>
    <row r="109" spans="1:8">
      <c r="B109" t="s">
        <v>4550</v>
      </c>
      <c r="C109" s="2" t="s">
        <v>251</v>
      </c>
      <c r="E109">
        <v>43815.01</v>
      </c>
      <c r="H109">
        <v>1.3480000000000001</v>
      </c>
    </row>
    <row r="110" spans="1:8">
      <c r="B110" t="s">
        <v>4713</v>
      </c>
      <c r="C110" s="2" t="s">
        <v>249</v>
      </c>
      <c r="E110">
        <v>43949.98</v>
      </c>
      <c r="H110">
        <v>1.385</v>
      </c>
    </row>
    <row r="111" spans="1:8">
      <c r="B111" t="s">
        <v>4713</v>
      </c>
      <c r="C111" s="2" t="s">
        <v>1702</v>
      </c>
      <c r="E111">
        <v>43996.3</v>
      </c>
      <c r="H111">
        <v>1.26</v>
      </c>
    </row>
    <row r="112" spans="1:8">
      <c r="B112">
        <v>440</v>
      </c>
      <c r="C112" s="2" t="s">
        <v>249</v>
      </c>
      <c r="E112">
        <v>44054.21</v>
      </c>
    </row>
    <row r="113" spans="1:8">
      <c r="B113" t="s">
        <v>4551</v>
      </c>
      <c r="C113" s="2" t="s">
        <v>250</v>
      </c>
      <c r="E113">
        <v>44148.45</v>
      </c>
      <c r="H113">
        <v>1.573</v>
      </c>
    </row>
    <row r="114" spans="1:8">
      <c r="B114" t="s">
        <v>4714</v>
      </c>
      <c r="C114" s="2" t="s">
        <v>252</v>
      </c>
      <c r="E114">
        <v>44224.58</v>
      </c>
      <c r="H114">
        <v>1.244</v>
      </c>
    </row>
    <row r="115" spans="1:8">
      <c r="B115" t="s">
        <v>4552</v>
      </c>
      <c r="C115" s="2" t="s">
        <v>249</v>
      </c>
      <c r="E115">
        <v>44308.73</v>
      </c>
      <c r="H115">
        <v>1.2230000000000001</v>
      </c>
    </row>
    <row r="116" spans="1:8">
      <c r="B116" t="s">
        <v>216</v>
      </c>
      <c r="C116" s="2" t="s">
        <v>248</v>
      </c>
      <c r="E116">
        <v>44416.33</v>
      </c>
      <c r="H116">
        <v>0.15</v>
      </c>
    </row>
    <row r="117" spans="1:8">
      <c r="A117" t="s">
        <v>4711</v>
      </c>
      <c r="B117" t="s">
        <v>2177</v>
      </c>
      <c r="C117" s="2" t="s">
        <v>249</v>
      </c>
      <c r="E117">
        <v>44703.37</v>
      </c>
      <c r="H117">
        <v>1.8660000000000001</v>
      </c>
    </row>
    <row r="118" spans="1:8">
      <c r="B118" t="s">
        <v>4715</v>
      </c>
      <c r="C118" s="2" t="s">
        <v>250</v>
      </c>
      <c r="E118">
        <v>44720.09</v>
      </c>
      <c r="H118">
        <v>1.33</v>
      </c>
    </row>
    <row r="119" spans="1:8">
      <c r="B119" t="s">
        <v>4716</v>
      </c>
      <c r="C119" s="2" t="s">
        <v>251</v>
      </c>
      <c r="E119">
        <v>44901.15</v>
      </c>
      <c r="H119">
        <v>1.2529999999999999</v>
      </c>
    </row>
    <row r="120" spans="1:8">
      <c r="B120">
        <v>449</v>
      </c>
      <c r="C120" s="2" t="s">
        <v>249</v>
      </c>
      <c r="E120">
        <v>44902.6</v>
      </c>
    </row>
    <row r="121" spans="1:8">
      <c r="B121" t="s">
        <v>4717</v>
      </c>
      <c r="C121" s="2" t="s">
        <v>251</v>
      </c>
      <c r="E121">
        <v>44946.12</v>
      </c>
      <c r="H121">
        <v>0.90500000000000003</v>
      </c>
    </row>
    <row r="122" spans="1:8">
      <c r="A122" t="s">
        <v>4718</v>
      </c>
      <c r="B122" t="s">
        <v>1149</v>
      </c>
      <c r="C122" s="2" t="s">
        <v>1702</v>
      </c>
      <c r="E122">
        <v>45082.63</v>
      </c>
      <c r="H122">
        <v>1.4</v>
      </c>
    </row>
    <row r="123" spans="1:8">
      <c r="A123" t="s">
        <v>4718</v>
      </c>
      <c r="B123" t="s">
        <v>1149</v>
      </c>
      <c r="C123" s="2" t="s">
        <v>252</v>
      </c>
      <c r="E123">
        <v>46374.25</v>
      </c>
      <c r="H123">
        <v>1.341</v>
      </c>
    </row>
    <row r="124" spans="1:8">
      <c r="A124" t="s">
        <v>4718</v>
      </c>
      <c r="B124" t="s">
        <v>1149</v>
      </c>
      <c r="C124" s="2" t="s">
        <v>251</v>
      </c>
      <c r="E124">
        <v>47932.55</v>
      </c>
      <c r="H124">
        <v>1.31</v>
      </c>
    </row>
    <row r="125" spans="1:8">
      <c r="A125" t="s">
        <v>4718</v>
      </c>
      <c r="B125" t="s">
        <v>1149</v>
      </c>
      <c r="C125" s="2" t="s">
        <v>249</v>
      </c>
      <c r="E125">
        <v>49022.77</v>
      </c>
      <c r="H125">
        <v>1.4950000000000001</v>
      </c>
    </row>
    <row r="126" spans="1:8">
      <c r="A126" t="s">
        <v>4718</v>
      </c>
      <c r="B126" t="s">
        <v>1149</v>
      </c>
      <c r="C126" s="2" t="s">
        <v>250</v>
      </c>
      <c r="E126">
        <v>49667.25</v>
      </c>
      <c r="H126">
        <v>1.27</v>
      </c>
    </row>
    <row r="127" spans="1:8">
      <c r="A127" t="s">
        <v>4718</v>
      </c>
      <c r="B127" t="s">
        <v>1149</v>
      </c>
      <c r="C127" s="2" t="s">
        <v>248</v>
      </c>
      <c r="E127">
        <v>49859.53</v>
      </c>
      <c r="H127">
        <v>0.41</v>
      </c>
    </row>
    <row r="128" spans="1:8">
      <c r="B128" t="s">
        <v>4557</v>
      </c>
      <c r="C128" s="2" t="s">
        <v>250</v>
      </c>
      <c r="E128">
        <v>45121.81</v>
      </c>
      <c r="H128">
        <v>0.67400000000000004</v>
      </c>
    </row>
    <row r="129" spans="2:8">
      <c r="B129" t="s">
        <v>4719</v>
      </c>
      <c r="C129" s="2" t="s">
        <v>249</v>
      </c>
      <c r="E129">
        <v>45332.03</v>
      </c>
      <c r="H129">
        <v>1.0880000000000001</v>
      </c>
    </row>
    <row r="130" spans="2:8">
      <c r="B130" t="s">
        <v>4719</v>
      </c>
      <c r="C130" s="2" t="s">
        <v>252</v>
      </c>
      <c r="E130">
        <v>45343.57</v>
      </c>
      <c r="H130">
        <v>1.131</v>
      </c>
    </row>
    <row r="131" spans="2:8">
      <c r="B131" t="s">
        <v>4720</v>
      </c>
      <c r="C131" s="2" t="s">
        <v>251</v>
      </c>
      <c r="E131">
        <v>45462.83</v>
      </c>
      <c r="H131">
        <v>1.3</v>
      </c>
    </row>
    <row r="132" spans="2:8">
      <c r="B132" t="s">
        <v>213</v>
      </c>
      <c r="C132" s="2" t="s">
        <v>248</v>
      </c>
      <c r="E132">
        <v>45817.26</v>
      </c>
      <c r="H132">
        <v>2.1970000000000001</v>
      </c>
    </row>
    <row r="133" spans="2:8">
      <c r="B133" t="s">
        <v>4561</v>
      </c>
      <c r="C133" s="2" t="s">
        <v>250</v>
      </c>
      <c r="E133">
        <v>45876.34</v>
      </c>
      <c r="H133">
        <v>1.3839999999999999</v>
      </c>
    </row>
    <row r="134" spans="2:8">
      <c r="B134" t="s">
        <v>4721</v>
      </c>
      <c r="C134" s="2" t="s">
        <v>1702</v>
      </c>
      <c r="E134">
        <v>45904.25</v>
      </c>
      <c r="H134">
        <v>1.175</v>
      </c>
    </row>
    <row r="135" spans="2:8">
      <c r="B135" t="s">
        <v>4721</v>
      </c>
      <c r="C135" s="2" t="s">
        <v>251</v>
      </c>
      <c r="E135">
        <v>45937.18</v>
      </c>
      <c r="H135">
        <v>1.298</v>
      </c>
    </row>
    <row r="136" spans="2:8">
      <c r="B136" t="s">
        <v>4564</v>
      </c>
      <c r="C136" s="2" t="s">
        <v>249</v>
      </c>
      <c r="E136">
        <v>46112.24</v>
      </c>
      <c r="H136">
        <v>1.405</v>
      </c>
    </row>
    <row r="137" spans="2:8">
      <c r="B137" t="s">
        <v>4564</v>
      </c>
      <c r="C137" s="2" t="s">
        <v>250</v>
      </c>
      <c r="E137">
        <v>46141.11</v>
      </c>
      <c r="H137">
        <v>0.71599999999999997</v>
      </c>
    </row>
    <row r="138" spans="2:8">
      <c r="B138" t="s">
        <v>4722</v>
      </c>
      <c r="C138" s="2" t="s">
        <v>251</v>
      </c>
      <c r="E138">
        <v>46352.99</v>
      </c>
      <c r="H138">
        <v>1.2709999999999999</v>
      </c>
    </row>
    <row r="139" spans="2:8">
      <c r="B139" t="s">
        <v>4565</v>
      </c>
      <c r="C139" s="2" t="s">
        <v>249</v>
      </c>
      <c r="E139">
        <v>46509.4</v>
      </c>
      <c r="H139">
        <v>1.371</v>
      </c>
    </row>
    <row r="140" spans="2:8">
      <c r="B140" t="s">
        <v>4723</v>
      </c>
      <c r="C140" s="2" t="s">
        <v>249</v>
      </c>
      <c r="E140">
        <v>46649.42</v>
      </c>
      <c r="H140">
        <v>1.3340000000000001</v>
      </c>
    </row>
    <row r="141" spans="2:8">
      <c r="B141" t="s">
        <v>4724</v>
      </c>
      <c r="C141" s="2" t="s">
        <v>250</v>
      </c>
      <c r="E141">
        <v>46733.38</v>
      </c>
      <c r="H141">
        <v>1.8580000000000001</v>
      </c>
    </row>
    <row r="142" spans="2:8">
      <c r="B142" t="s">
        <v>4567</v>
      </c>
      <c r="C142" s="2" t="s">
        <v>250</v>
      </c>
      <c r="E142">
        <v>47004.34</v>
      </c>
      <c r="H142">
        <v>1.2849999999999999</v>
      </c>
    </row>
    <row r="143" spans="2:8">
      <c r="B143" t="s">
        <v>4725</v>
      </c>
      <c r="C143" s="2" t="s">
        <v>249</v>
      </c>
      <c r="E143">
        <v>47101.61</v>
      </c>
      <c r="H143">
        <v>0.89300000000000002</v>
      </c>
    </row>
    <row r="144" spans="2:8">
      <c r="B144" t="s">
        <v>4725</v>
      </c>
      <c r="C144" s="2" t="s">
        <v>250</v>
      </c>
      <c r="E144">
        <v>47172.1</v>
      </c>
    </row>
    <row r="145" spans="2:8">
      <c r="B145" t="s">
        <v>4725</v>
      </c>
      <c r="C145" s="2" t="s">
        <v>248</v>
      </c>
      <c r="E145">
        <v>47172.9</v>
      </c>
      <c r="H145">
        <v>2.2149999999999999</v>
      </c>
    </row>
    <row r="146" spans="2:8">
      <c r="B146" t="s">
        <v>4726</v>
      </c>
      <c r="C146" s="2" t="s">
        <v>252</v>
      </c>
      <c r="E146">
        <v>47205.73</v>
      </c>
      <c r="H146">
        <v>1.1060000000000001</v>
      </c>
    </row>
    <row r="147" spans="2:8">
      <c r="B147" t="s">
        <v>4568</v>
      </c>
      <c r="C147" s="2" t="s">
        <v>251</v>
      </c>
      <c r="E147">
        <v>47358.36</v>
      </c>
      <c r="H147">
        <v>1.151</v>
      </c>
    </row>
    <row r="148" spans="2:8">
      <c r="B148" t="s">
        <v>3574</v>
      </c>
      <c r="C148" s="2" t="s">
        <v>720</v>
      </c>
      <c r="E148">
        <v>47506.79</v>
      </c>
      <c r="H148">
        <v>1.26</v>
      </c>
    </row>
    <row r="149" spans="2:8">
      <c r="B149" t="s">
        <v>4569</v>
      </c>
      <c r="C149" s="2" t="s">
        <v>248</v>
      </c>
      <c r="E149">
        <v>47664.74</v>
      </c>
      <c r="H149">
        <v>1.5</v>
      </c>
    </row>
    <row r="150" spans="2:8">
      <c r="B150" t="s">
        <v>4569</v>
      </c>
      <c r="C150" s="2" t="s">
        <v>251</v>
      </c>
      <c r="E150">
        <v>47669.01</v>
      </c>
      <c r="H150">
        <v>1.196</v>
      </c>
    </row>
    <row r="151" spans="2:8">
      <c r="B151" t="s">
        <v>4727</v>
      </c>
      <c r="C151" s="2" t="s">
        <v>250</v>
      </c>
      <c r="E151">
        <v>47703.78</v>
      </c>
      <c r="H151">
        <v>1.4430000000000001</v>
      </c>
    </row>
    <row r="152" spans="2:8">
      <c r="B152" t="s">
        <v>4728</v>
      </c>
      <c r="C152" s="2" t="s">
        <v>250</v>
      </c>
      <c r="E152">
        <v>47779.91</v>
      </c>
      <c r="H152">
        <v>1.3620000000000001</v>
      </c>
    </row>
    <row r="153" spans="2:8">
      <c r="B153" t="s">
        <v>4729</v>
      </c>
      <c r="C153" s="2" t="s">
        <v>1702</v>
      </c>
      <c r="E153">
        <v>47859.93</v>
      </c>
      <c r="H153">
        <v>1.2</v>
      </c>
    </row>
    <row r="154" spans="2:8">
      <c r="B154" t="s">
        <v>4729</v>
      </c>
      <c r="C154" s="2" t="s">
        <v>249</v>
      </c>
      <c r="E154">
        <v>47899.22</v>
      </c>
      <c r="H154">
        <v>1.2170000000000001</v>
      </c>
    </row>
    <row r="155" spans="2:8">
      <c r="B155" t="s">
        <v>4570</v>
      </c>
      <c r="C155" s="2" t="s">
        <v>249</v>
      </c>
      <c r="E155">
        <v>47970.82</v>
      </c>
      <c r="H155">
        <v>1.169</v>
      </c>
    </row>
    <row r="156" spans="2:8">
      <c r="B156" t="s">
        <v>4730</v>
      </c>
      <c r="C156" s="2" t="s">
        <v>251</v>
      </c>
      <c r="E156">
        <v>48184.2</v>
      </c>
      <c r="H156">
        <v>1.252</v>
      </c>
    </row>
    <row r="157" spans="2:8">
      <c r="B157" t="s">
        <v>4731</v>
      </c>
      <c r="C157" s="2" t="s">
        <v>1702</v>
      </c>
      <c r="E157">
        <v>48569.63</v>
      </c>
      <c r="H157">
        <v>1.27</v>
      </c>
    </row>
    <row r="158" spans="2:8">
      <c r="B158" t="s">
        <v>4732</v>
      </c>
      <c r="C158" s="2" t="s">
        <v>251</v>
      </c>
      <c r="E158">
        <v>48786.35</v>
      </c>
      <c r="H158">
        <v>1.53</v>
      </c>
    </row>
    <row r="159" spans="2:8">
      <c r="B159" t="s">
        <v>4733</v>
      </c>
      <c r="C159" s="2" t="s">
        <v>251</v>
      </c>
      <c r="E159">
        <v>48857.599999999999</v>
      </c>
      <c r="H159">
        <v>1.24</v>
      </c>
    </row>
    <row r="160" spans="2:8">
      <c r="B160" t="s">
        <v>4734</v>
      </c>
      <c r="C160" s="2" t="s">
        <v>251</v>
      </c>
      <c r="E160">
        <v>49027.85</v>
      </c>
      <c r="H160">
        <v>1.4990000000000001</v>
      </c>
    </row>
    <row r="161" spans="1:8">
      <c r="B161" t="s">
        <v>4574</v>
      </c>
      <c r="C161" s="2" t="s">
        <v>252</v>
      </c>
      <c r="E161">
        <v>49170.76</v>
      </c>
      <c r="H161">
        <v>1.135</v>
      </c>
    </row>
    <row r="162" spans="1:8">
      <c r="B162" t="s">
        <v>4735</v>
      </c>
      <c r="C162" s="2" t="s">
        <v>250</v>
      </c>
      <c r="E162">
        <v>49250.02</v>
      </c>
      <c r="H162">
        <v>1.2629999999999999</v>
      </c>
    </row>
    <row r="163" spans="1:8">
      <c r="B163" t="s">
        <v>4735</v>
      </c>
      <c r="C163" s="2" t="s">
        <v>1702</v>
      </c>
      <c r="E163">
        <v>49286.07</v>
      </c>
      <c r="H163">
        <v>1.075</v>
      </c>
    </row>
    <row r="164" spans="1:8">
      <c r="B164" t="s">
        <v>4736</v>
      </c>
      <c r="C164" s="2" t="s">
        <v>249</v>
      </c>
      <c r="E164">
        <v>49540.959999999999</v>
      </c>
    </row>
    <row r="165" spans="1:8">
      <c r="B165" t="s">
        <v>4737</v>
      </c>
      <c r="C165" s="2" t="s">
        <v>249</v>
      </c>
      <c r="E165">
        <v>49573.11</v>
      </c>
      <c r="H165">
        <v>1.3440000000000001</v>
      </c>
    </row>
    <row r="166" spans="1:8">
      <c r="B166" t="s">
        <v>4738</v>
      </c>
      <c r="C166" s="2" t="s">
        <v>252</v>
      </c>
      <c r="E166">
        <v>49582.61</v>
      </c>
      <c r="H166">
        <v>1.0580000000000001</v>
      </c>
    </row>
    <row r="167" spans="1:8">
      <c r="B167" t="s">
        <v>4577</v>
      </c>
      <c r="C167" s="2" t="s">
        <v>251</v>
      </c>
      <c r="E167">
        <v>49863.22</v>
      </c>
      <c r="H167">
        <v>1.175</v>
      </c>
    </row>
    <row r="168" spans="1:8">
      <c r="B168" t="s">
        <v>4577</v>
      </c>
      <c r="C168" s="2" t="s">
        <v>250</v>
      </c>
      <c r="E168">
        <v>49895.57</v>
      </c>
      <c r="H168">
        <v>1.9890000000000001</v>
      </c>
    </row>
    <row r="169" spans="1:8">
      <c r="B169" t="s">
        <v>4739</v>
      </c>
      <c r="C169" s="2" t="s">
        <v>249</v>
      </c>
      <c r="E169">
        <v>50110.28</v>
      </c>
      <c r="H169">
        <v>1.7649999999999999</v>
      </c>
    </row>
    <row r="170" spans="1:8">
      <c r="B170" t="s">
        <v>4740</v>
      </c>
      <c r="C170" s="2" t="s">
        <v>249</v>
      </c>
      <c r="E170">
        <v>50158.87</v>
      </c>
      <c r="H170">
        <v>1.4219999999999999</v>
      </c>
    </row>
    <row r="171" spans="1:8">
      <c r="B171" t="s">
        <v>4741</v>
      </c>
      <c r="C171" s="2" t="s">
        <v>252</v>
      </c>
      <c r="E171">
        <v>50196.94</v>
      </c>
      <c r="H171">
        <v>1.345</v>
      </c>
    </row>
    <row r="172" spans="1:8">
      <c r="B172" t="s">
        <v>4742</v>
      </c>
      <c r="C172" s="2" t="s">
        <v>250</v>
      </c>
      <c r="E172">
        <v>50263.22</v>
      </c>
      <c r="H172">
        <v>1.234</v>
      </c>
    </row>
    <row r="173" spans="1:8">
      <c r="B173" t="s">
        <v>4743</v>
      </c>
      <c r="C173" s="2" t="s">
        <v>251</v>
      </c>
      <c r="E173">
        <v>50310.7</v>
      </c>
      <c r="H173">
        <v>1.17</v>
      </c>
    </row>
    <row r="174" spans="1:8">
      <c r="A174" t="s">
        <v>4744</v>
      </c>
      <c r="B174" t="s">
        <v>2200</v>
      </c>
      <c r="C174" s="2" t="s">
        <v>250</v>
      </c>
      <c r="E174">
        <v>50332.6</v>
      </c>
    </row>
    <row r="175" spans="1:8">
      <c r="A175" t="s">
        <v>4744</v>
      </c>
      <c r="B175" t="s">
        <v>2200</v>
      </c>
      <c r="C175" s="2" t="s">
        <v>249</v>
      </c>
      <c r="E175">
        <v>50340.62</v>
      </c>
      <c r="H175">
        <v>2.0270000000000001</v>
      </c>
    </row>
    <row r="176" spans="1:8">
      <c r="A176" t="s">
        <v>4744</v>
      </c>
      <c r="B176" t="s">
        <v>2200</v>
      </c>
      <c r="C176" s="2" t="s">
        <v>251</v>
      </c>
      <c r="E176">
        <v>50359.23</v>
      </c>
      <c r="H176">
        <v>1.82</v>
      </c>
    </row>
    <row r="177" spans="1:8">
      <c r="A177" t="s">
        <v>4744</v>
      </c>
      <c r="B177" t="s">
        <v>2200</v>
      </c>
      <c r="C177" s="2" t="s">
        <v>252</v>
      </c>
      <c r="E177">
        <v>50395.72</v>
      </c>
      <c r="H177">
        <v>1.69</v>
      </c>
    </row>
    <row r="178" spans="1:8">
      <c r="A178" t="s">
        <v>4744</v>
      </c>
      <c r="B178" t="s">
        <v>2200</v>
      </c>
      <c r="C178" s="2" t="s">
        <v>1702</v>
      </c>
      <c r="E178">
        <v>50464.34</v>
      </c>
      <c r="H178">
        <v>1.629</v>
      </c>
    </row>
    <row r="179" spans="1:8">
      <c r="B179" t="s">
        <v>4581</v>
      </c>
      <c r="C179" s="2" t="s">
        <v>252</v>
      </c>
      <c r="E179">
        <v>50401.01</v>
      </c>
      <c r="H179">
        <v>1.0549999999999999</v>
      </c>
    </row>
    <row r="180" spans="1:8">
      <c r="B180" t="s">
        <v>4581</v>
      </c>
      <c r="C180" s="2" t="s">
        <v>249</v>
      </c>
      <c r="E180">
        <v>50463.8</v>
      </c>
      <c r="H180">
        <v>1.1439999999999999</v>
      </c>
    </row>
    <row r="181" spans="1:8">
      <c r="B181" t="s">
        <v>4745</v>
      </c>
      <c r="C181" s="2" t="s">
        <v>250</v>
      </c>
      <c r="E181">
        <v>50571.02</v>
      </c>
      <c r="H181">
        <v>0.93500000000000005</v>
      </c>
    </row>
    <row r="182" spans="1:8">
      <c r="B182" t="s">
        <v>4746</v>
      </c>
      <c r="C182" s="2" t="s">
        <v>1702</v>
      </c>
      <c r="E182">
        <v>50663.51</v>
      </c>
      <c r="H182">
        <v>1.22</v>
      </c>
    </row>
    <row r="183" spans="1:8">
      <c r="B183" t="s">
        <v>4582</v>
      </c>
      <c r="C183" s="2" t="s">
        <v>251</v>
      </c>
      <c r="E183">
        <v>50869</v>
      </c>
      <c r="H183">
        <v>1.24</v>
      </c>
    </row>
    <row r="184" spans="1:8">
      <c r="B184" t="s">
        <v>4747</v>
      </c>
      <c r="C184" s="2" t="s">
        <v>249</v>
      </c>
      <c r="E184">
        <v>50934.18</v>
      </c>
      <c r="H184">
        <v>1.385</v>
      </c>
    </row>
    <row r="185" spans="1:8">
      <c r="B185">
        <v>509</v>
      </c>
      <c r="C185" s="2" t="s">
        <v>249</v>
      </c>
      <c r="E185">
        <v>50973.17</v>
      </c>
      <c r="H185">
        <v>1.4890000000000001</v>
      </c>
    </row>
    <row r="186" spans="1:8">
      <c r="A186" t="s">
        <v>4744</v>
      </c>
      <c r="B186" t="s">
        <v>1309</v>
      </c>
      <c r="C186" s="2" t="s">
        <v>251</v>
      </c>
      <c r="E186">
        <v>50988.47</v>
      </c>
      <c r="H186">
        <v>1.5580000000000001</v>
      </c>
    </row>
    <row r="187" spans="1:8">
      <c r="A187" t="s">
        <v>4744</v>
      </c>
      <c r="B187" t="s">
        <v>1309</v>
      </c>
      <c r="C187" s="2" t="s">
        <v>252</v>
      </c>
      <c r="E187">
        <v>50994.15</v>
      </c>
      <c r="H187">
        <v>1.548</v>
      </c>
    </row>
    <row r="188" spans="1:8">
      <c r="A188" t="s">
        <v>4744</v>
      </c>
      <c r="B188" t="s">
        <v>1309</v>
      </c>
      <c r="C188" s="2" t="s">
        <v>250</v>
      </c>
      <c r="E188">
        <v>51030.73</v>
      </c>
    </row>
    <row r="189" spans="1:8">
      <c r="A189" t="s">
        <v>4744</v>
      </c>
      <c r="B189" t="s">
        <v>1309</v>
      </c>
      <c r="C189" s="2" t="s">
        <v>249</v>
      </c>
      <c r="E189">
        <v>51035.56</v>
      </c>
      <c r="H189">
        <v>1.546</v>
      </c>
    </row>
    <row r="190" spans="1:8">
      <c r="A190" t="s">
        <v>4744</v>
      </c>
      <c r="B190" t="s">
        <v>1309</v>
      </c>
      <c r="C190" s="2" t="s">
        <v>248</v>
      </c>
      <c r="E190">
        <v>51049.87</v>
      </c>
    </row>
    <row r="191" spans="1:8">
      <c r="B191" t="s">
        <v>4748</v>
      </c>
      <c r="C191" s="2" t="s">
        <v>252</v>
      </c>
      <c r="E191">
        <v>51027.96</v>
      </c>
    </row>
    <row r="192" spans="1:8">
      <c r="B192" t="s">
        <v>4749</v>
      </c>
      <c r="C192" s="2" t="s">
        <v>250</v>
      </c>
      <c r="E192">
        <v>51183</v>
      </c>
      <c r="H192">
        <v>1.456</v>
      </c>
    </row>
    <row r="193" spans="2:8">
      <c r="B193" t="s">
        <v>4749</v>
      </c>
      <c r="C193" s="2" t="s">
        <v>252</v>
      </c>
      <c r="E193">
        <v>51193.49</v>
      </c>
    </row>
    <row r="194" spans="2:8">
      <c r="B194" t="s">
        <v>4750</v>
      </c>
      <c r="C194" s="2" t="s">
        <v>251</v>
      </c>
      <c r="E194">
        <v>51229.64</v>
      </c>
      <c r="H194">
        <v>1.2310000000000001</v>
      </c>
    </row>
    <row r="195" spans="2:8">
      <c r="B195" t="s">
        <v>4583</v>
      </c>
      <c r="C195" s="2" t="s">
        <v>249</v>
      </c>
      <c r="E195">
        <v>51477.15</v>
      </c>
      <c r="H195">
        <v>0.97</v>
      </c>
    </row>
    <row r="196" spans="2:8">
      <c r="B196" t="s">
        <v>4583</v>
      </c>
      <c r="C196" s="2" t="s">
        <v>252</v>
      </c>
      <c r="E196">
        <v>51486.29</v>
      </c>
      <c r="H196">
        <v>1.2</v>
      </c>
    </row>
    <row r="197" spans="2:8">
      <c r="B197" t="s">
        <v>4751</v>
      </c>
      <c r="C197" s="2" t="s">
        <v>250</v>
      </c>
      <c r="E197">
        <v>51578.05</v>
      </c>
      <c r="H197">
        <v>0.92</v>
      </c>
    </row>
    <row r="198" spans="2:8">
      <c r="B198" t="s">
        <v>4751</v>
      </c>
      <c r="C198" s="2" t="s">
        <v>249</v>
      </c>
      <c r="E198">
        <v>51590.080000000002</v>
      </c>
      <c r="H198">
        <v>1.02</v>
      </c>
    </row>
    <row r="199" spans="2:8">
      <c r="B199" t="s">
        <v>4752</v>
      </c>
      <c r="C199" s="2" t="s">
        <v>251</v>
      </c>
      <c r="E199">
        <v>51647.82</v>
      </c>
      <c r="H199">
        <v>1.139</v>
      </c>
    </row>
    <row r="200" spans="2:8">
      <c r="B200" t="s">
        <v>4753</v>
      </c>
      <c r="C200" s="2" t="s">
        <v>250</v>
      </c>
      <c r="E200">
        <v>51874.43</v>
      </c>
      <c r="H200">
        <v>1.29</v>
      </c>
    </row>
    <row r="201" spans="2:8">
      <c r="B201" t="s">
        <v>4584</v>
      </c>
      <c r="C201" s="2" t="s">
        <v>1702</v>
      </c>
      <c r="E201">
        <v>51945.94</v>
      </c>
    </row>
    <row r="202" spans="2:8">
      <c r="B202" t="s">
        <v>4584</v>
      </c>
      <c r="C202" s="2" t="s">
        <v>251</v>
      </c>
      <c r="E202">
        <v>51955.02</v>
      </c>
      <c r="H202">
        <v>1.2</v>
      </c>
    </row>
    <row r="203" spans="2:8">
      <c r="B203" t="s">
        <v>4754</v>
      </c>
      <c r="C203" s="2" t="s">
        <v>252</v>
      </c>
      <c r="E203">
        <v>52001.37</v>
      </c>
      <c r="H203">
        <v>1.357</v>
      </c>
    </row>
    <row r="204" spans="2:8">
      <c r="B204" t="s">
        <v>4755</v>
      </c>
      <c r="C204" s="2" t="s">
        <v>720</v>
      </c>
      <c r="E204">
        <v>52122.35</v>
      </c>
      <c r="H204">
        <v>1.17</v>
      </c>
    </row>
    <row r="205" spans="2:8">
      <c r="B205" t="s">
        <v>4756</v>
      </c>
      <c r="C205" s="2" t="s">
        <v>249</v>
      </c>
      <c r="E205">
        <v>52218.11</v>
      </c>
      <c r="H205">
        <v>1.208</v>
      </c>
    </row>
    <row r="206" spans="2:8">
      <c r="B206" t="s">
        <v>4756</v>
      </c>
      <c r="C206" s="2" t="s">
        <v>720</v>
      </c>
      <c r="E206">
        <v>52227.199999999997</v>
      </c>
    </row>
    <row r="207" spans="2:8">
      <c r="B207" t="s">
        <v>4756</v>
      </c>
      <c r="C207" s="2" t="s">
        <v>250</v>
      </c>
      <c r="E207">
        <v>52278.28</v>
      </c>
      <c r="H207">
        <v>1.4219999999999999</v>
      </c>
    </row>
    <row r="208" spans="2:8">
      <c r="B208" t="s">
        <v>4757</v>
      </c>
      <c r="C208" s="2" t="s">
        <v>251</v>
      </c>
      <c r="E208">
        <v>52373.120000000003</v>
      </c>
    </row>
    <row r="209" spans="2:8">
      <c r="B209" t="s">
        <v>4758</v>
      </c>
      <c r="C209" s="2" t="s">
        <v>248</v>
      </c>
      <c r="E209">
        <v>52469.45</v>
      </c>
      <c r="H209">
        <v>1.3149999999999999</v>
      </c>
    </row>
    <row r="210" spans="2:8">
      <c r="B210" t="s">
        <v>4758</v>
      </c>
      <c r="C210" s="2" t="s">
        <v>249</v>
      </c>
      <c r="E210">
        <v>52472.31</v>
      </c>
    </row>
    <row r="211" spans="2:8">
      <c r="B211" t="s">
        <v>4759</v>
      </c>
      <c r="C211" s="2" t="s">
        <v>251</v>
      </c>
      <c r="E211">
        <v>52610.01</v>
      </c>
    </row>
    <row r="212" spans="2:8">
      <c r="B212" t="s">
        <v>4760</v>
      </c>
      <c r="C212" s="2" t="s">
        <v>252</v>
      </c>
      <c r="E212">
        <v>52741.3</v>
      </c>
    </row>
    <row r="213" spans="2:8">
      <c r="B213" t="s">
        <v>4761</v>
      </c>
      <c r="C213" s="2" t="s">
        <v>251</v>
      </c>
      <c r="E213">
        <v>52857.440000000002</v>
      </c>
      <c r="H213">
        <v>1.3</v>
      </c>
    </row>
    <row r="214" spans="2:8">
      <c r="B214" t="s">
        <v>4761</v>
      </c>
      <c r="C214" s="2" t="s">
        <v>249</v>
      </c>
      <c r="E214">
        <v>52881.34</v>
      </c>
      <c r="H214">
        <v>1.05</v>
      </c>
    </row>
    <row r="215" spans="2:8">
      <c r="B215" t="s">
        <v>4762</v>
      </c>
      <c r="C215" s="2" t="s">
        <v>250</v>
      </c>
      <c r="E215">
        <v>52951.59</v>
      </c>
      <c r="H215">
        <v>1.1399999999999999</v>
      </c>
    </row>
    <row r="216" spans="2:8">
      <c r="B216" t="s">
        <v>4763</v>
      </c>
      <c r="C216" s="2" t="s">
        <v>250</v>
      </c>
      <c r="E216">
        <v>52954.46</v>
      </c>
    </row>
    <row r="217" spans="2:8">
      <c r="B217" t="s">
        <v>4764</v>
      </c>
      <c r="C217" s="2" t="s">
        <v>249</v>
      </c>
      <c r="E217">
        <v>53058.74</v>
      </c>
      <c r="H217">
        <v>1.1839999999999999</v>
      </c>
    </row>
    <row r="218" spans="2:8">
      <c r="B218" t="s">
        <v>4765</v>
      </c>
      <c r="C218" s="2" t="s">
        <v>248</v>
      </c>
      <c r="E218">
        <v>53125.19</v>
      </c>
      <c r="H218">
        <v>1.145</v>
      </c>
    </row>
    <row r="219" spans="2:8">
      <c r="B219" t="s">
        <v>4766</v>
      </c>
      <c r="C219" s="2" t="s">
        <v>248</v>
      </c>
      <c r="E219">
        <v>53288.28</v>
      </c>
      <c r="H219">
        <v>1.3720000000000001</v>
      </c>
    </row>
    <row r="220" spans="2:8">
      <c r="B220" t="s">
        <v>4766</v>
      </c>
      <c r="C220" s="2" t="s">
        <v>250</v>
      </c>
      <c r="E220">
        <v>53293.72</v>
      </c>
      <c r="H220">
        <v>1.323</v>
      </c>
    </row>
    <row r="221" spans="2:8">
      <c r="B221" t="s">
        <v>4767</v>
      </c>
      <c r="C221" s="2" t="s">
        <v>252</v>
      </c>
      <c r="E221">
        <v>53320.95</v>
      </c>
      <c r="H221">
        <v>1.38</v>
      </c>
    </row>
    <row r="222" spans="2:8">
      <c r="B222" t="s">
        <v>4768</v>
      </c>
      <c r="C222" s="2" t="s">
        <v>251</v>
      </c>
      <c r="E222">
        <v>53335.94</v>
      </c>
      <c r="H222">
        <v>1.29</v>
      </c>
    </row>
    <row r="223" spans="2:8">
      <c r="B223" t="s">
        <v>4769</v>
      </c>
      <c r="C223" s="2" t="s">
        <v>252</v>
      </c>
      <c r="E223">
        <v>53379.35</v>
      </c>
      <c r="H223">
        <v>1.0900000000000001</v>
      </c>
    </row>
    <row r="224" spans="2:8">
      <c r="B224" t="s">
        <v>4770</v>
      </c>
      <c r="C224" s="2" t="s">
        <v>249</v>
      </c>
      <c r="E224">
        <v>53389.73</v>
      </c>
      <c r="H224">
        <v>1.19</v>
      </c>
    </row>
    <row r="225" spans="1:8">
      <c r="A225" t="s">
        <v>4771</v>
      </c>
      <c r="B225" t="s">
        <v>2222</v>
      </c>
      <c r="C225" s="2" t="s">
        <v>251</v>
      </c>
      <c r="E225">
        <v>53392</v>
      </c>
    </row>
    <row r="226" spans="1:8">
      <c r="B226" t="s">
        <v>4772</v>
      </c>
      <c r="C226" s="2" t="s">
        <v>1702</v>
      </c>
      <c r="E226">
        <v>53467.57</v>
      </c>
      <c r="H226">
        <v>1.2</v>
      </c>
    </row>
    <row r="227" spans="1:8">
      <c r="B227" t="s">
        <v>4773</v>
      </c>
      <c r="C227" s="2" t="s">
        <v>251</v>
      </c>
      <c r="E227">
        <v>53738.46</v>
      </c>
      <c r="H227">
        <v>1.2030000000000001</v>
      </c>
    </row>
    <row r="228" spans="1:8">
      <c r="B228" t="s">
        <v>4774</v>
      </c>
      <c r="C228" s="2" t="s">
        <v>250</v>
      </c>
      <c r="E228">
        <v>53842.53</v>
      </c>
      <c r="H228">
        <v>1.169</v>
      </c>
    </row>
    <row r="229" spans="1:8">
      <c r="B229" t="s">
        <v>4775</v>
      </c>
      <c r="C229" s="2" t="s">
        <v>248</v>
      </c>
      <c r="E229">
        <v>53928.9</v>
      </c>
      <c r="H229">
        <v>1.113</v>
      </c>
    </row>
    <row r="230" spans="1:8">
      <c r="B230" t="s">
        <v>4775</v>
      </c>
      <c r="C230" s="2" t="s">
        <v>1702</v>
      </c>
      <c r="E230">
        <v>53948.73</v>
      </c>
      <c r="H230">
        <v>1.1299999999999999</v>
      </c>
    </row>
    <row r="231" spans="1:8">
      <c r="B231" t="s">
        <v>4776</v>
      </c>
      <c r="C231" s="2" t="s">
        <v>251</v>
      </c>
      <c r="E231">
        <v>54018.19</v>
      </c>
      <c r="H231">
        <v>0.72299999999999998</v>
      </c>
    </row>
    <row r="232" spans="1:8">
      <c r="B232" t="s">
        <v>4777</v>
      </c>
      <c r="C232" s="2" t="s">
        <v>251</v>
      </c>
      <c r="E232">
        <v>54086.69</v>
      </c>
      <c r="H232">
        <v>1.22</v>
      </c>
    </row>
    <row r="233" spans="1:8">
      <c r="B233" t="s">
        <v>4778</v>
      </c>
      <c r="C233" s="2" t="s">
        <v>251</v>
      </c>
      <c r="E233">
        <v>54177.25</v>
      </c>
      <c r="H233">
        <v>1.27</v>
      </c>
    </row>
    <row r="234" spans="1:8">
      <c r="B234" t="s">
        <v>4779</v>
      </c>
      <c r="C234" s="2" t="s">
        <v>249</v>
      </c>
      <c r="E234">
        <v>54268.18</v>
      </c>
      <c r="H234">
        <v>1.29</v>
      </c>
    </row>
    <row r="235" spans="1:8">
      <c r="B235" t="s">
        <v>4780</v>
      </c>
      <c r="C235" s="2" t="s">
        <v>249</v>
      </c>
      <c r="E235">
        <v>54409.61</v>
      </c>
      <c r="H235">
        <v>1.069</v>
      </c>
    </row>
    <row r="236" spans="1:8">
      <c r="B236" t="s">
        <v>4780</v>
      </c>
      <c r="C236" s="2" t="s">
        <v>250</v>
      </c>
      <c r="E236">
        <v>54467.4</v>
      </c>
      <c r="H236">
        <v>1.361</v>
      </c>
    </row>
    <row r="237" spans="1:8">
      <c r="B237" t="s">
        <v>4781</v>
      </c>
      <c r="C237" s="2" t="s">
        <v>251</v>
      </c>
      <c r="E237">
        <v>54513.84</v>
      </c>
    </row>
    <row r="238" spans="1:8">
      <c r="B238" t="s">
        <v>4781</v>
      </c>
      <c r="C238" s="2" t="s">
        <v>1702</v>
      </c>
      <c r="E238">
        <v>54554.61</v>
      </c>
    </row>
    <row r="239" spans="1:8">
      <c r="B239" t="s">
        <v>4782</v>
      </c>
      <c r="C239" s="2" t="s">
        <v>720</v>
      </c>
      <c r="E239">
        <v>54729.52</v>
      </c>
    </row>
    <row r="240" spans="1:8">
      <c r="B240" t="s">
        <v>4783</v>
      </c>
      <c r="C240" s="2" t="s">
        <v>252</v>
      </c>
      <c r="E240">
        <v>54813.120000000003</v>
      </c>
      <c r="H240">
        <v>1.1850000000000001</v>
      </c>
    </row>
    <row r="241" spans="2:8">
      <c r="B241" t="s">
        <v>4783</v>
      </c>
      <c r="C241" s="2" t="s">
        <v>249</v>
      </c>
      <c r="E241">
        <v>54823.02</v>
      </c>
      <c r="H241">
        <v>1.1830000000000001</v>
      </c>
    </row>
    <row r="242" spans="2:8">
      <c r="B242" t="s">
        <v>4784</v>
      </c>
      <c r="C242" s="2" t="s">
        <v>248</v>
      </c>
      <c r="E242">
        <v>54968.85</v>
      </c>
      <c r="H242">
        <v>1.3140000000000001</v>
      </c>
    </row>
    <row r="243" spans="2:8">
      <c r="B243" t="s">
        <v>4785</v>
      </c>
      <c r="C243" s="2" t="s">
        <v>1702</v>
      </c>
      <c r="E243">
        <v>55223.85</v>
      </c>
      <c r="H243">
        <v>1.149</v>
      </c>
    </row>
    <row r="244" spans="2:8">
      <c r="B244" t="s">
        <v>4786</v>
      </c>
      <c r="C244" s="2" t="s">
        <v>251</v>
      </c>
      <c r="E244">
        <v>55454.48</v>
      </c>
      <c r="H244">
        <v>1.17</v>
      </c>
    </row>
    <row r="245" spans="2:8">
      <c r="B245" t="s">
        <v>4787</v>
      </c>
      <c r="C245" s="2" t="s">
        <v>720</v>
      </c>
      <c r="E245">
        <v>55776.51</v>
      </c>
      <c r="H245">
        <v>1.056</v>
      </c>
    </row>
    <row r="246" spans="2:8">
      <c r="B246" t="s">
        <v>4788</v>
      </c>
      <c r="C246" s="2" t="s">
        <v>251</v>
      </c>
      <c r="E246">
        <v>55901.2</v>
      </c>
      <c r="H246">
        <v>1.22</v>
      </c>
    </row>
    <row r="247" spans="2:8">
      <c r="B247" t="s">
        <v>4788</v>
      </c>
      <c r="C247" s="2" t="s">
        <v>250</v>
      </c>
      <c r="E247">
        <v>55902.01</v>
      </c>
      <c r="H247">
        <v>0.44700000000000001</v>
      </c>
    </row>
    <row r="248" spans="2:8">
      <c r="B248" t="s">
        <v>4788</v>
      </c>
      <c r="C248" s="2" t="s">
        <v>252</v>
      </c>
      <c r="E248">
        <v>55912.42</v>
      </c>
      <c r="H248">
        <v>1.06</v>
      </c>
    </row>
    <row r="249" spans="2:8">
      <c r="B249" t="s">
        <v>4789</v>
      </c>
      <c r="C249" s="2" t="s">
        <v>252</v>
      </c>
      <c r="E249">
        <v>56307.97</v>
      </c>
    </row>
    <row r="250" spans="2:8">
      <c r="B250" t="s">
        <v>4790</v>
      </c>
      <c r="C250" s="2" t="s">
        <v>252</v>
      </c>
      <c r="E250">
        <v>56411.22</v>
      </c>
    </row>
    <row r="251" spans="2:8">
      <c r="B251" t="s">
        <v>4790</v>
      </c>
      <c r="C251" s="2" t="s">
        <v>248</v>
      </c>
      <c r="E251">
        <v>56451.87</v>
      </c>
      <c r="H251">
        <v>1.2869999999999999</v>
      </c>
    </row>
    <row r="252" spans="2:8">
      <c r="B252" t="s">
        <v>4791</v>
      </c>
      <c r="C252" s="2" t="s">
        <v>720</v>
      </c>
      <c r="E252">
        <v>56523.41</v>
      </c>
    </row>
    <row r="253" spans="2:8">
      <c r="B253" t="s">
        <v>4792</v>
      </c>
      <c r="C253" s="2" t="s">
        <v>251</v>
      </c>
      <c r="E253">
        <v>56699.41</v>
      </c>
      <c r="H253">
        <v>1.25</v>
      </c>
    </row>
    <row r="254" spans="2:8">
      <c r="B254" t="s">
        <v>4793</v>
      </c>
      <c r="C254" s="2" t="s">
        <v>249</v>
      </c>
      <c r="E254">
        <v>56822.75</v>
      </c>
    </row>
    <row r="255" spans="2:8">
      <c r="B255" t="s">
        <v>4793</v>
      </c>
      <c r="C255" s="2" t="s">
        <v>250</v>
      </c>
      <c r="E255">
        <v>56866.06</v>
      </c>
      <c r="H255">
        <v>0.47899999999999998</v>
      </c>
    </row>
    <row r="256" spans="2:8">
      <c r="B256" t="s">
        <v>4794</v>
      </c>
      <c r="C256" s="2" t="s">
        <v>248</v>
      </c>
      <c r="E256">
        <v>57073.31</v>
      </c>
      <c r="H256">
        <v>0.94</v>
      </c>
    </row>
    <row r="257" spans="1:8">
      <c r="B257" t="s">
        <v>4794</v>
      </c>
      <c r="C257" s="2" t="s">
        <v>251</v>
      </c>
      <c r="E257">
        <v>57090.29</v>
      </c>
    </row>
    <row r="258" spans="1:8">
      <c r="B258" t="s">
        <v>4795</v>
      </c>
      <c r="C258" s="2" t="s">
        <v>251</v>
      </c>
      <c r="E258">
        <v>57172.7</v>
      </c>
      <c r="H258">
        <v>1.19</v>
      </c>
    </row>
    <row r="259" spans="1:8">
      <c r="B259" t="s">
        <v>4796</v>
      </c>
      <c r="C259" s="2" t="s">
        <v>252</v>
      </c>
      <c r="E259">
        <v>57280.86</v>
      </c>
      <c r="H259">
        <v>1.19</v>
      </c>
    </row>
    <row r="260" spans="1:8">
      <c r="B260" t="s">
        <v>4797</v>
      </c>
      <c r="C260" s="2" t="s">
        <v>251</v>
      </c>
      <c r="E260">
        <v>57371.75</v>
      </c>
    </row>
    <row r="261" spans="1:8">
      <c r="B261" t="s">
        <v>4797</v>
      </c>
      <c r="C261" s="2" t="s">
        <v>1702</v>
      </c>
      <c r="E261">
        <v>57391.44</v>
      </c>
      <c r="H261">
        <v>1.3</v>
      </c>
    </row>
    <row r="262" spans="1:8">
      <c r="B262" t="s">
        <v>4798</v>
      </c>
      <c r="C262" s="2" t="s">
        <v>720</v>
      </c>
      <c r="E262">
        <v>57452.83</v>
      </c>
    </row>
    <row r="263" spans="1:8">
      <c r="B263" t="s">
        <v>4799</v>
      </c>
      <c r="C263" s="2" t="s">
        <v>249</v>
      </c>
      <c r="E263">
        <v>57524.31</v>
      </c>
      <c r="H263">
        <v>1.4</v>
      </c>
    </row>
    <row r="264" spans="1:8">
      <c r="B264" t="s">
        <v>4800</v>
      </c>
      <c r="C264" s="2" t="s">
        <v>252</v>
      </c>
      <c r="E264">
        <v>57656.85</v>
      </c>
      <c r="H264">
        <v>1.19</v>
      </c>
    </row>
    <row r="265" spans="1:8">
      <c r="A265" t="s">
        <v>4801</v>
      </c>
      <c r="B265" t="s">
        <v>1463</v>
      </c>
      <c r="C265" s="2" t="s">
        <v>248</v>
      </c>
    </row>
    <row r="266" spans="1:8">
      <c r="A266" t="s">
        <v>4801</v>
      </c>
      <c r="B266" t="s">
        <v>1463</v>
      </c>
      <c r="C266" s="2" t="s">
        <v>250</v>
      </c>
      <c r="E266">
        <v>57665.43</v>
      </c>
    </row>
    <row r="267" spans="1:8">
      <c r="A267" t="s">
        <v>4801</v>
      </c>
      <c r="B267" t="s">
        <v>1463</v>
      </c>
      <c r="C267" s="2" t="s">
        <v>251</v>
      </c>
      <c r="E267">
        <v>58060.639999999999</v>
      </c>
    </row>
    <row r="268" spans="1:8">
      <c r="A268" t="s">
        <v>4801</v>
      </c>
      <c r="B268" t="s">
        <v>1463</v>
      </c>
      <c r="C268" s="2" t="s">
        <v>252</v>
      </c>
      <c r="E268">
        <v>58368.9</v>
      </c>
    </row>
    <row r="269" spans="1:8">
      <c r="A269" t="s">
        <v>4801</v>
      </c>
      <c r="B269" t="s">
        <v>1463</v>
      </c>
      <c r="C269" s="2" t="s">
        <v>249</v>
      </c>
      <c r="E269">
        <v>59268.79</v>
      </c>
    </row>
    <row r="270" spans="1:8">
      <c r="B270" t="s">
        <v>4802</v>
      </c>
      <c r="C270" s="2" t="s">
        <v>250</v>
      </c>
      <c r="E270">
        <v>58050.58</v>
      </c>
      <c r="H270">
        <v>1.111</v>
      </c>
    </row>
    <row r="271" spans="1:8">
      <c r="B271" t="s">
        <v>4803</v>
      </c>
      <c r="C271" s="2" t="s">
        <v>251</v>
      </c>
      <c r="E271">
        <v>58260.03</v>
      </c>
      <c r="H271">
        <v>1.43</v>
      </c>
    </row>
    <row r="272" spans="1:8">
      <c r="B272" t="s">
        <v>4803</v>
      </c>
      <c r="C272" s="2" t="s">
        <v>252</v>
      </c>
      <c r="E272">
        <v>58279.31</v>
      </c>
    </row>
    <row r="273" spans="2:8">
      <c r="B273" t="s">
        <v>4804</v>
      </c>
      <c r="C273" s="2" t="s">
        <v>249</v>
      </c>
      <c r="E273">
        <v>58332.42</v>
      </c>
    </row>
    <row r="274" spans="2:8">
      <c r="B274" t="s">
        <v>4805</v>
      </c>
      <c r="C274" s="2" t="s">
        <v>250</v>
      </c>
      <c r="E274">
        <v>58442.51</v>
      </c>
      <c r="H274">
        <v>1.32</v>
      </c>
    </row>
    <row r="275" spans="2:8">
      <c r="B275" t="s">
        <v>4587</v>
      </c>
      <c r="C275" s="2" t="s">
        <v>248</v>
      </c>
      <c r="E275">
        <v>58541.88</v>
      </c>
    </row>
    <row r="276" spans="2:8">
      <c r="B276" t="s">
        <v>4806</v>
      </c>
      <c r="C276" s="2" t="s">
        <v>1702</v>
      </c>
      <c r="E276">
        <v>58619.32</v>
      </c>
      <c r="H276">
        <v>1.165</v>
      </c>
    </row>
    <row r="277" spans="2:8">
      <c r="B277" t="s">
        <v>4807</v>
      </c>
      <c r="C277" s="2" t="s">
        <v>250</v>
      </c>
      <c r="E277">
        <v>59127.3</v>
      </c>
      <c r="H277">
        <v>1.2</v>
      </c>
    </row>
    <row r="278" spans="2:8">
      <c r="B278" t="s">
        <v>4807</v>
      </c>
      <c r="C278" s="2" t="s">
        <v>249</v>
      </c>
      <c r="E278">
        <v>59171.73</v>
      </c>
    </row>
    <row r="279" spans="2:8">
      <c r="B279" t="s">
        <v>4808</v>
      </c>
      <c r="C279" s="2" t="s">
        <v>250</v>
      </c>
      <c r="E279">
        <v>59293.45</v>
      </c>
    </row>
    <row r="280" spans="2:8">
      <c r="B280" t="s">
        <v>4809</v>
      </c>
      <c r="C280" s="2" t="s">
        <v>252</v>
      </c>
      <c r="E280">
        <v>59394.29</v>
      </c>
    </row>
    <row r="281" spans="2:8">
      <c r="B281" t="s">
        <v>4810</v>
      </c>
      <c r="C281" s="2" t="s">
        <v>1702</v>
      </c>
      <c r="E281">
        <v>59412.46</v>
      </c>
      <c r="H281">
        <v>1.1499999999999999</v>
      </c>
    </row>
    <row r="282" spans="2:8">
      <c r="B282" t="s">
        <v>4811</v>
      </c>
      <c r="C282" s="2" t="s">
        <v>251</v>
      </c>
      <c r="E282">
        <v>59784.67</v>
      </c>
    </row>
    <row r="283" spans="2:8">
      <c r="B283" t="s">
        <v>4812</v>
      </c>
      <c r="C283" s="2" t="s">
        <v>251</v>
      </c>
      <c r="E283">
        <v>59926.91</v>
      </c>
      <c r="H283">
        <v>1.1000000000000001</v>
      </c>
    </row>
    <row r="284" spans="2:8">
      <c r="B284" t="s">
        <v>4813</v>
      </c>
      <c r="C284" s="2" t="s">
        <v>249</v>
      </c>
      <c r="E284">
        <v>60737.279999999999</v>
      </c>
    </row>
    <row r="285" spans="2:8">
      <c r="B285" t="s">
        <v>4814</v>
      </c>
      <c r="C285" s="2" t="s">
        <v>249</v>
      </c>
      <c r="E285">
        <v>60837.1</v>
      </c>
      <c r="H285">
        <v>1.22</v>
      </c>
    </row>
    <row r="286" spans="2:8">
      <c r="B286" t="s">
        <v>4815</v>
      </c>
      <c r="C286" s="2" t="s">
        <v>1702</v>
      </c>
      <c r="E286">
        <v>62142.97</v>
      </c>
    </row>
    <row r="287" spans="2:8">
      <c r="B287" t="s">
        <v>4816</v>
      </c>
      <c r="C287" s="2" t="s">
        <v>251</v>
      </c>
      <c r="E287">
        <v>62350.13</v>
      </c>
    </row>
    <row r="288" spans="2:8">
      <c r="B288" t="s">
        <v>4817</v>
      </c>
      <c r="C288" s="2" t="s">
        <v>251</v>
      </c>
      <c r="E288">
        <v>62493.51</v>
      </c>
      <c r="H288">
        <v>1.17</v>
      </c>
    </row>
    <row r="289" spans="1:9">
      <c r="A289" t="s">
        <v>4818</v>
      </c>
      <c r="B289" t="s">
        <v>202</v>
      </c>
      <c r="C289" s="2" t="s">
        <v>203</v>
      </c>
      <c r="E289">
        <v>63181.599999999999</v>
      </c>
      <c r="G289">
        <v>0.9</v>
      </c>
      <c r="I289" t="s">
        <v>4697</v>
      </c>
    </row>
    <row r="290" spans="1:9">
      <c r="B290" t="s">
        <v>4819</v>
      </c>
      <c r="C290" s="2" t="s">
        <v>1702</v>
      </c>
      <c r="E290">
        <v>63267.63</v>
      </c>
      <c r="H290">
        <v>1.135</v>
      </c>
    </row>
    <row r="291" spans="1:9">
      <c r="B291" t="s">
        <v>4820</v>
      </c>
      <c r="C291" s="2" t="s">
        <v>720</v>
      </c>
      <c r="E291">
        <v>63772.4</v>
      </c>
    </row>
    <row r="292" spans="1:9">
      <c r="B292" t="s">
        <v>4821</v>
      </c>
      <c r="C292" s="2" t="s">
        <v>720</v>
      </c>
      <c r="E292">
        <v>63934.76</v>
      </c>
      <c r="H292">
        <v>1.07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0B20-FA6B-49C9-8845-34F2F02792AD}">
  <dimension ref="A1:I275"/>
  <sheetViews>
    <sheetView workbookViewId="0">
      <selection sqref="A1:I1048576"/>
    </sheetView>
  </sheetViews>
  <sheetFormatPr defaultRowHeight="15"/>
  <cols>
    <col min="1" max="1" width="20.140625" bestFit="1" customWidth="1"/>
    <col min="2" max="2" width="6" bestFit="1" customWidth="1"/>
    <col min="3" max="3" width="5.71093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10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4822</v>
      </c>
      <c r="B2" t="s">
        <v>15</v>
      </c>
      <c r="C2">
        <v>4</v>
      </c>
      <c r="E2">
        <v>0</v>
      </c>
      <c r="H2">
        <v>1.44</v>
      </c>
      <c r="I2" t="s">
        <v>12</v>
      </c>
    </row>
    <row r="3" spans="1:9">
      <c r="A3" t="s">
        <v>4822</v>
      </c>
      <c r="B3" t="s">
        <v>15</v>
      </c>
      <c r="C3">
        <v>2</v>
      </c>
      <c r="E3">
        <v>2740.49</v>
      </c>
      <c r="H3">
        <v>1.44</v>
      </c>
    </row>
    <row r="4" spans="1:9">
      <c r="A4" t="s">
        <v>4822</v>
      </c>
      <c r="B4" t="s">
        <v>15</v>
      </c>
      <c r="C4">
        <v>3</v>
      </c>
      <c r="E4">
        <v>4159.32</v>
      </c>
      <c r="H4">
        <v>1.47</v>
      </c>
    </row>
    <row r="5" spans="1:9">
      <c r="A5" t="s">
        <v>4822</v>
      </c>
      <c r="B5" t="s">
        <v>15</v>
      </c>
      <c r="C5">
        <v>1</v>
      </c>
      <c r="E5">
        <v>5766.14</v>
      </c>
      <c r="H5">
        <v>1.47</v>
      </c>
    </row>
    <row r="6" spans="1:9">
      <c r="A6" t="s">
        <v>4822</v>
      </c>
      <c r="B6" t="s">
        <v>15</v>
      </c>
      <c r="C6">
        <v>0</v>
      </c>
      <c r="E6">
        <v>6092.79</v>
      </c>
    </row>
    <row r="7" spans="1:9">
      <c r="A7" t="s">
        <v>4823</v>
      </c>
      <c r="B7" t="s">
        <v>11</v>
      </c>
      <c r="C7">
        <v>5</v>
      </c>
      <c r="E7">
        <v>5143.92</v>
      </c>
      <c r="H7">
        <v>1.38</v>
      </c>
    </row>
    <row r="8" spans="1:9">
      <c r="A8" t="s">
        <v>4823</v>
      </c>
      <c r="B8" t="s">
        <v>11</v>
      </c>
      <c r="C8">
        <v>4</v>
      </c>
      <c r="E8">
        <v>8742.83</v>
      </c>
      <c r="H8">
        <v>1.31</v>
      </c>
    </row>
    <row r="9" spans="1:9">
      <c r="A9" t="s">
        <v>4823</v>
      </c>
      <c r="B9" t="s">
        <v>11</v>
      </c>
      <c r="C9">
        <v>2</v>
      </c>
      <c r="E9">
        <v>10165.98</v>
      </c>
      <c r="H9">
        <v>1.45</v>
      </c>
    </row>
    <row r="10" spans="1:9">
      <c r="A10" t="s">
        <v>4823</v>
      </c>
      <c r="B10" t="s">
        <v>11</v>
      </c>
      <c r="C10">
        <v>3</v>
      </c>
      <c r="E10">
        <v>11378</v>
      </c>
      <c r="H10">
        <v>1.26</v>
      </c>
    </row>
    <row r="11" spans="1:9">
      <c r="A11" t="s">
        <v>4823</v>
      </c>
      <c r="B11" t="s">
        <v>11</v>
      </c>
      <c r="C11">
        <v>1</v>
      </c>
      <c r="E11">
        <v>13020.07</v>
      </c>
      <c r="H11">
        <v>0.31</v>
      </c>
    </row>
    <row r="12" spans="1:9">
      <c r="A12" t="s">
        <v>4823</v>
      </c>
      <c r="B12" t="s">
        <v>13</v>
      </c>
      <c r="C12">
        <v>4</v>
      </c>
      <c r="E12">
        <v>11030.58</v>
      </c>
      <c r="H12">
        <v>1.1599999999999999</v>
      </c>
    </row>
    <row r="13" spans="1:9">
      <c r="A13" t="s">
        <v>4823</v>
      </c>
      <c r="B13" t="s">
        <v>13</v>
      </c>
      <c r="C13">
        <v>2</v>
      </c>
      <c r="E13">
        <v>12774.38</v>
      </c>
      <c r="H13">
        <v>1</v>
      </c>
    </row>
    <row r="14" spans="1:9">
      <c r="A14" t="s">
        <v>4823</v>
      </c>
      <c r="B14" t="s">
        <v>13</v>
      </c>
      <c r="C14">
        <v>3</v>
      </c>
      <c r="E14">
        <v>14091.37</v>
      </c>
      <c r="H14">
        <v>1.1000000000000001</v>
      </c>
    </row>
    <row r="15" spans="1:9">
      <c r="B15">
        <v>1336</v>
      </c>
      <c r="C15">
        <v>2</v>
      </c>
      <c r="E15">
        <v>13364.83</v>
      </c>
      <c r="H15">
        <v>0.94</v>
      </c>
    </row>
    <row r="16" spans="1:9">
      <c r="A16" t="s">
        <v>4822</v>
      </c>
      <c r="B16" t="s">
        <v>29</v>
      </c>
      <c r="C16">
        <v>5</v>
      </c>
      <c r="E16">
        <v>14338.99</v>
      </c>
      <c r="H16">
        <v>1.1299999999999999</v>
      </c>
    </row>
    <row r="17" spans="1:8">
      <c r="A17" t="s">
        <v>4822</v>
      </c>
      <c r="B17" t="s">
        <v>29</v>
      </c>
      <c r="C17">
        <v>4</v>
      </c>
      <c r="E17">
        <v>14848.05</v>
      </c>
      <c r="H17">
        <v>1.08</v>
      </c>
    </row>
    <row r="18" spans="1:8">
      <c r="A18" t="s">
        <v>4822</v>
      </c>
      <c r="B18" t="s">
        <v>29</v>
      </c>
      <c r="C18">
        <v>6</v>
      </c>
      <c r="E18">
        <v>14852.33</v>
      </c>
      <c r="H18">
        <v>1.1399999999999999</v>
      </c>
    </row>
    <row r="19" spans="1:8">
      <c r="B19">
        <v>1522</v>
      </c>
      <c r="C19">
        <v>2</v>
      </c>
      <c r="E19">
        <v>15222.57</v>
      </c>
      <c r="H19">
        <v>1.61</v>
      </c>
    </row>
    <row r="20" spans="1:8">
      <c r="A20" t="s">
        <v>4824</v>
      </c>
      <c r="B20" t="s">
        <v>17</v>
      </c>
      <c r="C20">
        <v>2</v>
      </c>
    </row>
    <row r="21" spans="1:8">
      <c r="A21" t="s">
        <v>4824</v>
      </c>
      <c r="B21" t="s">
        <v>17</v>
      </c>
      <c r="C21">
        <v>1</v>
      </c>
    </row>
    <row r="22" spans="1:8">
      <c r="A22" t="s">
        <v>4824</v>
      </c>
      <c r="B22" t="s">
        <v>17</v>
      </c>
      <c r="C22">
        <v>3</v>
      </c>
      <c r="E22">
        <v>15390.76</v>
      </c>
      <c r="H22">
        <v>1.54</v>
      </c>
    </row>
    <row r="23" spans="1:8">
      <c r="B23">
        <v>1621</v>
      </c>
      <c r="C23">
        <v>1</v>
      </c>
      <c r="E23">
        <v>16212.41</v>
      </c>
      <c r="H23">
        <v>1.74</v>
      </c>
    </row>
    <row r="24" spans="1:8">
      <c r="B24">
        <v>1766</v>
      </c>
      <c r="C24">
        <v>1</v>
      </c>
      <c r="E24">
        <v>17667.34</v>
      </c>
      <c r="H24">
        <v>1.4</v>
      </c>
    </row>
    <row r="25" spans="1:8">
      <c r="A25" t="s">
        <v>4824</v>
      </c>
      <c r="B25" t="s">
        <v>21</v>
      </c>
      <c r="C25">
        <v>2</v>
      </c>
    </row>
    <row r="26" spans="1:8">
      <c r="A26" t="s">
        <v>4824</v>
      </c>
      <c r="B26" t="s">
        <v>21</v>
      </c>
      <c r="C26">
        <v>1</v>
      </c>
    </row>
    <row r="27" spans="1:8">
      <c r="A27" t="s">
        <v>4824</v>
      </c>
      <c r="B27" t="s">
        <v>21</v>
      </c>
      <c r="C27">
        <v>0</v>
      </c>
      <c r="E27">
        <v>18301.400000000001</v>
      </c>
    </row>
    <row r="28" spans="1:8">
      <c r="B28">
        <v>1890</v>
      </c>
      <c r="C28">
        <v>3</v>
      </c>
      <c r="E28">
        <v>18901.939999999999</v>
      </c>
      <c r="H28">
        <v>1.2</v>
      </c>
    </row>
    <row r="29" spans="1:8">
      <c r="B29">
        <v>1904</v>
      </c>
      <c r="C29">
        <v>0</v>
      </c>
      <c r="E29">
        <v>19048.91</v>
      </c>
    </row>
    <row r="30" spans="1:8">
      <c r="B30">
        <v>1910</v>
      </c>
      <c r="C30">
        <v>4</v>
      </c>
      <c r="E30">
        <v>19108.87</v>
      </c>
      <c r="H30">
        <v>1.03</v>
      </c>
    </row>
    <row r="31" spans="1:8">
      <c r="B31">
        <v>1941</v>
      </c>
      <c r="C31">
        <v>2</v>
      </c>
      <c r="E31">
        <v>19410.66</v>
      </c>
      <c r="H31">
        <v>0.97</v>
      </c>
    </row>
    <row r="32" spans="1:8">
      <c r="B32">
        <v>1989</v>
      </c>
      <c r="C32">
        <v>4</v>
      </c>
      <c r="E32">
        <v>19893.07</v>
      </c>
      <c r="H32">
        <v>1.06</v>
      </c>
    </row>
    <row r="33" spans="1:8">
      <c r="B33">
        <v>2103</v>
      </c>
      <c r="C33">
        <v>1</v>
      </c>
      <c r="E33">
        <v>21033.45</v>
      </c>
      <c r="H33">
        <v>0.88</v>
      </c>
    </row>
    <row r="34" spans="1:8">
      <c r="B34">
        <v>2112</v>
      </c>
      <c r="C34">
        <v>3</v>
      </c>
      <c r="E34">
        <v>21123.66</v>
      </c>
      <c r="H34">
        <v>0.94</v>
      </c>
    </row>
    <row r="35" spans="1:8">
      <c r="B35">
        <v>2130</v>
      </c>
      <c r="C35">
        <v>2</v>
      </c>
      <c r="E35">
        <v>21303.360000000001</v>
      </c>
      <c r="H35">
        <v>1.26</v>
      </c>
    </row>
    <row r="36" spans="1:8">
      <c r="B36">
        <v>2256</v>
      </c>
      <c r="C36">
        <v>1</v>
      </c>
      <c r="E36">
        <v>22563.65</v>
      </c>
    </row>
    <row r="37" spans="1:8">
      <c r="A37" t="s">
        <v>4825</v>
      </c>
      <c r="B37" t="s">
        <v>42</v>
      </c>
      <c r="C37">
        <v>1</v>
      </c>
    </row>
    <row r="38" spans="1:8">
      <c r="A38" t="s">
        <v>4825</v>
      </c>
      <c r="B38" t="s">
        <v>42</v>
      </c>
      <c r="C38">
        <v>4</v>
      </c>
      <c r="E38">
        <v>22615.69</v>
      </c>
      <c r="H38">
        <v>1.62</v>
      </c>
    </row>
    <row r="39" spans="1:8">
      <c r="A39" t="s">
        <v>4825</v>
      </c>
      <c r="B39" t="s">
        <v>42</v>
      </c>
      <c r="C39">
        <v>5</v>
      </c>
      <c r="E39">
        <v>23462.9</v>
      </c>
      <c r="H39">
        <v>1.55</v>
      </c>
    </row>
    <row r="40" spans="1:8">
      <c r="A40" t="s">
        <v>4825</v>
      </c>
      <c r="B40" t="s">
        <v>42</v>
      </c>
      <c r="C40">
        <v>3</v>
      </c>
      <c r="E40">
        <v>25012.93</v>
      </c>
      <c r="H40">
        <v>1.73</v>
      </c>
    </row>
    <row r="41" spans="1:8">
      <c r="A41" t="s">
        <v>4825</v>
      </c>
      <c r="B41" t="s">
        <v>42</v>
      </c>
      <c r="C41">
        <v>2</v>
      </c>
      <c r="E41">
        <v>25275.42</v>
      </c>
      <c r="H41">
        <v>2.04</v>
      </c>
    </row>
    <row r="42" spans="1:8">
      <c r="B42">
        <v>2331</v>
      </c>
      <c r="C42">
        <v>2</v>
      </c>
      <c r="E42">
        <v>23317.599999999999</v>
      </c>
      <c r="H42">
        <v>1.27</v>
      </c>
    </row>
    <row r="43" spans="1:8">
      <c r="B43">
        <v>2332</v>
      </c>
      <c r="C43">
        <v>4</v>
      </c>
      <c r="E43">
        <v>23322.66</v>
      </c>
      <c r="H43">
        <v>1.04</v>
      </c>
    </row>
    <row r="44" spans="1:8">
      <c r="B44">
        <v>2398</v>
      </c>
      <c r="C44">
        <v>3</v>
      </c>
      <c r="E44">
        <v>23984.58</v>
      </c>
      <c r="H44">
        <v>1.07</v>
      </c>
    </row>
    <row r="45" spans="1:8">
      <c r="B45">
        <v>2429</v>
      </c>
      <c r="C45">
        <v>5</v>
      </c>
      <c r="E45">
        <v>24291.97</v>
      </c>
    </row>
    <row r="46" spans="1:8">
      <c r="B46">
        <v>2506</v>
      </c>
      <c r="C46">
        <v>2</v>
      </c>
      <c r="E46">
        <v>25069.71</v>
      </c>
      <c r="H46">
        <v>0.89</v>
      </c>
    </row>
    <row r="47" spans="1:8">
      <c r="B47">
        <v>2559</v>
      </c>
      <c r="C47">
        <v>3</v>
      </c>
      <c r="E47">
        <v>25593.94</v>
      </c>
    </row>
    <row r="48" spans="1:8">
      <c r="B48">
        <v>2560</v>
      </c>
      <c r="C48">
        <v>4</v>
      </c>
      <c r="E48">
        <v>25601.55</v>
      </c>
    </row>
    <row r="49" spans="1:8">
      <c r="B49" t="s">
        <v>4826</v>
      </c>
      <c r="C49">
        <v>2</v>
      </c>
      <c r="E49">
        <v>27954.32</v>
      </c>
      <c r="H49">
        <v>2.04</v>
      </c>
    </row>
    <row r="50" spans="1:8">
      <c r="B50">
        <v>2813</v>
      </c>
      <c r="C50">
        <v>3</v>
      </c>
      <c r="E50">
        <v>28139.52</v>
      </c>
      <c r="H50">
        <v>1.24</v>
      </c>
    </row>
    <row r="51" spans="1:8">
      <c r="A51" t="s">
        <v>4825</v>
      </c>
      <c r="B51" t="s">
        <v>53</v>
      </c>
      <c r="C51">
        <v>2</v>
      </c>
    </row>
    <row r="52" spans="1:8">
      <c r="A52" t="s">
        <v>4825</v>
      </c>
      <c r="B52" t="s">
        <v>53</v>
      </c>
      <c r="C52">
        <v>4</v>
      </c>
      <c r="E52">
        <v>28331.77</v>
      </c>
      <c r="H52">
        <v>1.59</v>
      </c>
    </row>
    <row r="53" spans="1:8">
      <c r="A53" t="s">
        <v>4825</v>
      </c>
      <c r="B53" t="s">
        <v>53</v>
      </c>
      <c r="C53">
        <v>3</v>
      </c>
      <c r="E53">
        <v>28371.68</v>
      </c>
      <c r="H53">
        <v>1.74</v>
      </c>
    </row>
    <row r="54" spans="1:8">
      <c r="B54">
        <v>2841</v>
      </c>
      <c r="C54">
        <v>2</v>
      </c>
      <c r="E54">
        <v>28411.95</v>
      </c>
    </row>
    <row r="55" spans="1:8">
      <c r="B55" t="s">
        <v>4827</v>
      </c>
      <c r="C55">
        <v>2</v>
      </c>
      <c r="E55">
        <v>28609.97</v>
      </c>
    </row>
    <row r="56" spans="1:8">
      <c r="A56" t="s">
        <v>4825</v>
      </c>
      <c r="B56" t="s">
        <v>51</v>
      </c>
      <c r="C56">
        <v>4</v>
      </c>
    </row>
    <row r="57" spans="1:8">
      <c r="A57" t="s">
        <v>4825</v>
      </c>
      <c r="B57" t="s">
        <v>51</v>
      </c>
      <c r="C57">
        <v>1</v>
      </c>
    </row>
    <row r="58" spans="1:8">
      <c r="A58" t="s">
        <v>4825</v>
      </c>
      <c r="B58" t="s">
        <v>51</v>
      </c>
      <c r="C58">
        <v>3</v>
      </c>
    </row>
    <row r="59" spans="1:8">
      <c r="A59" t="s">
        <v>4825</v>
      </c>
      <c r="B59" t="s">
        <v>51</v>
      </c>
      <c r="C59">
        <v>0</v>
      </c>
    </row>
    <row r="60" spans="1:8">
      <c r="A60" t="s">
        <v>4825</v>
      </c>
      <c r="B60" t="s">
        <v>51</v>
      </c>
      <c r="C60">
        <v>5</v>
      </c>
    </row>
    <row r="61" spans="1:8">
      <c r="A61" t="s">
        <v>4825</v>
      </c>
      <c r="B61" t="s">
        <v>51</v>
      </c>
      <c r="C61">
        <v>2</v>
      </c>
    </row>
    <row r="62" spans="1:8">
      <c r="A62" t="s">
        <v>4825</v>
      </c>
      <c r="B62" t="s">
        <v>51</v>
      </c>
      <c r="C62">
        <v>6</v>
      </c>
      <c r="E62">
        <v>29099.41</v>
      </c>
      <c r="H62">
        <v>1.48</v>
      </c>
    </row>
    <row r="63" spans="1:8">
      <c r="B63" t="s">
        <v>4828</v>
      </c>
      <c r="C63">
        <v>3</v>
      </c>
      <c r="E63">
        <v>29381.65</v>
      </c>
      <c r="H63">
        <v>1.49</v>
      </c>
    </row>
    <row r="64" spans="1:8">
      <c r="B64">
        <v>2939</v>
      </c>
      <c r="C64">
        <v>4</v>
      </c>
      <c r="E64">
        <v>29394.3</v>
      </c>
    </row>
    <row r="65" spans="2:8">
      <c r="B65">
        <v>3005</v>
      </c>
      <c r="C65">
        <v>2</v>
      </c>
      <c r="E65">
        <v>30056.79</v>
      </c>
    </row>
    <row r="66" spans="2:8">
      <c r="B66" t="s">
        <v>4829</v>
      </c>
      <c r="C66">
        <v>2</v>
      </c>
      <c r="E66">
        <v>30078.28</v>
      </c>
      <c r="H66">
        <v>1.48</v>
      </c>
    </row>
    <row r="67" spans="2:8">
      <c r="B67" t="s">
        <v>4830</v>
      </c>
      <c r="C67">
        <v>5</v>
      </c>
      <c r="E67">
        <v>30279.95</v>
      </c>
      <c r="H67">
        <v>1.47</v>
      </c>
    </row>
    <row r="68" spans="2:8">
      <c r="B68" t="s">
        <v>4831</v>
      </c>
      <c r="C68">
        <v>1</v>
      </c>
      <c r="E68">
        <v>30524.92</v>
      </c>
      <c r="H68" t="s">
        <v>1591</v>
      </c>
    </row>
    <row r="69" spans="2:8">
      <c r="B69" t="s">
        <v>4832</v>
      </c>
      <c r="C69">
        <v>4</v>
      </c>
      <c r="E69">
        <v>30591.45</v>
      </c>
      <c r="H69">
        <v>1.54</v>
      </c>
    </row>
    <row r="70" spans="2:8">
      <c r="B70" t="s">
        <v>4833</v>
      </c>
      <c r="C70">
        <v>2</v>
      </c>
      <c r="E70">
        <v>32457.439999999999</v>
      </c>
      <c r="H70">
        <v>1.84</v>
      </c>
    </row>
    <row r="71" spans="2:8">
      <c r="B71" t="s">
        <v>4834</v>
      </c>
      <c r="C71">
        <v>4</v>
      </c>
      <c r="E71">
        <v>32684.61</v>
      </c>
      <c r="H71">
        <v>1.47</v>
      </c>
    </row>
    <row r="72" spans="2:8">
      <c r="B72" t="s">
        <v>4835</v>
      </c>
      <c r="C72">
        <v>3</v>
      </c>
      <c r="E72">
        <v>33124.480000000003</v>
      </c>
      <c r="H72">
        <v>1.63</v>
      </c>
    </row>
    <row r="73" spans="2:8">
      <c r="B73" t="s">
        <v>4836</v>
      </c>
      <c r="C73">
        <v>3</v>
      </c>
      <c r="E73">
        <v>34125.4</v>
      </c>
      <c r="H73">
        <v>1.44</v>
      </c>
    </row>
    <row r="74" spans="2:8">
      <c r="B74" t="s">
        <v>4837</v>
      </c>
      <c r="C74">
        <v>5</v>
      </c>
      <c r="E74">
        <v>34365.33</v>
      </c>
      <c r="H74">
        <v>1.42</v>
      </c>
    </row>
    <row r="75" spans="2:8">
      <c r="B75" t="s">
        <v>4838</v>
      </c>
      <c r="C75">
        <v>4</v>
      </c>
      <c r="E75">
        <v>34803.82</v>
      </c>
      <c r="H75">
        <v>1.37</v>
      </c>
    </row>
    <row r="76" spans="2:8">
      <c r="B76" t="s">
        <v>4839</v>
      </c>
      <c r="C76">
        <v>2</v>
      </c>
      <c r="E76">
        <v>35090.5</v>
      </c>
      <c r="H76">
        <v>1.57</v>
      </c>
    </row>
    <row r="77" spans="2:8">
      <c r="B77" t="s">
        <v>4840</v>
      </c>
      <c r="C77">
        <v>3</v>
      </c>
      <c r="E77">
        <v>35615.919999999998</v>
      </c>
      <c r="H77">
        <v>1.51</v>
      </c>
    </row>
    <row r="78" spans="2:8">
      <c r="B78" t="s">
        <v>4841</v>
      </c>
      <c r="C78">
        <v>1</v>
      </c>
      <c r="E78">
        <v>35919.550000000003</v>
      </c>
      <c r="H78">
        <v>1.29</v>
      </c>
    </row>
    <row r="79" spans="2:8">
      <c r="B79" t="s">
        <v>4842</v>
      </c>
      <c r="C79">
        <v>2</v>
      </c>
      <c r="E79">
        <v>36345.81</v>
      </c>
      <c r="H79">
        <v>1.1499999999999999</v>
      </c>
    </row>
    <row r="80" spans="2:8">
      <c r="B80" t="s">
        <v>4843</v>
      </c>
      <c r="C80">
        <v>2</v>
      </c>
      <c r="E80">
        <v>36634.54</v>
      </c>
      <c r="H80">
        <v>1.36</v>
      </c>
    </row>
    <row r="81" spans="2:8">
      <c r="B81" t="s">
        <v>4844</v>
      </c>
      <c r="C81">
        <v>3</v>
      </c>
      <c r="E81">
        <v>36806.269999999997</v>
      </c>
      <c r="H81">
        <v>1.48</v>
      </c>
    </row>
    <row r="82" spans="2:8">
      <c r="B82" t="s">
        <v>4845</v>
      </c>
      <c r="C82">
        <v>5</v>
      </c>
      <c r="E82">
        <v>36817.94</v>
      </c>
      <c r="H82">
        <v>1.28</v>
      </c>
    </row>
    <row r="83" spans="2:8">
      <c r="B83" t="s">
        <v>4846</v>
      </c>
      <c r="C83">
        <v>4</v>
      </c>
      <c r="E83">
        <v>36826.39</v>
      </c>
      <c r="H83">
        <v>1.41</v>
      </c>
    </row>
    <row r="84" spans="2:8">
      <c r="B84" t="s">
        <v>4847</v>
      </c>
      <c r="C84">
        <v>1</v>
      </c>
      <c r="E84">
        <v>36979.51</v>
      </c>
      <c r="H84">
        <v>1.31</v>
      </c>
    </row>
    <row r="85" spans="2:8">
      <c r="B85" t="s">
        <v>4848</v>
      </c>
      <c r="C85">
        <v>3</v>
      </c>
      <c r="E85">
        <v>37808.58</v>
      </c>
      <c r="H85">
        <v>1.26</v>
      </c>
    </row>
    <row r="86" spans="2:8">
      <c r="B86" t="s">
        <v>4849</v>
      </c>
      <c r="C86">
        <v>4</v>
      </c>
      <c r="E86">
        <v>37908.769999999997</v>
      </c>
      <c r="H86">
        <v>1.45</v>
      </c>
    </row>
    <row r="87" spans="2:8">
      <c r="B87" t="s">
        <v>4850</v>
      </c>
      <c r="C87">
        <v>2</v>
      </c>
      <c r="E87">
        <v>37921.71</v>
      </c>
      <c r="H87">
        <v>1.45</v>
      </c>
    </row>
    <row r="88" spans="2:8">
      <c r="B88" t="s">
        <v>4851</v>
      </c>
      <c r="C88">
        <v>4</v>
      </c>
      <c r="E88">
        <v>38130.089999999997</v>
      </c>
      <c r="H88">
        <v>1.24</v>
      </c>
    </row>
    <row r="89" spans="2:8">
      <c r="B89" t="s">
        <v>4852</v>
      </c>
      <c r="C89">
        <v>1</v>
      </c>
      <c r="E89">
        <v>38244.199999999997</v>
      </c>
      <c r="H89">
        <v>1.55</v>
      </c>
    </row>
    <row r="90" spans="2:8">
      <c r="B90" t="s">
        <v>4853</v>
      </c>
      <c r="C90">
        <v>3</v>
      </c>
      <c r="E90">
        <v>38264.160000000003</v>
      </c>
      <c r="H90">
        <v>1.23</v>
      </c>
    </row>
    <row r="91" spans="2:8">
      <c r="B91" t="s">
        <v>4854</v>
      </c>
      <c r="C91">
        <v>2</v>
      </c>
      <c r="E91">
        <v>38330.75</v>
      </c>
      <c r="H91">
        <v>1.41</v>
      </c>
    </row>
    <row r="92" spans="2:8">
      <c r="B92" t="s">
        <v>4855</v>
      </c>
      <c r="C92">
        <v>3</v>
      </c>
      <c r="E92">
        <v>38486.01</v>
      </c>
      <c r="H92">
        <v>1.61</v>
      </c>
    </row>
    <row r="93" spans="2:8">
      <c r="B93" t="s">
        <v>4856</v>
      </c>
      <c r="C93">
        <v>1</v>
      </c>
      <c r="E93">
        <v>38613.440000000002</v>
      </c>
      <c r="H93">
        <v>0.28999999999999998</v>
      </c>
    </row>
    <row r="94" spans="2:8">
      <c r="B94" t="s">
        <v>4857</v>
      </c>
      <c r="C94">
        <v>2</v>
      </c>
      <c r="E94">
        <v>38741.19</v>
      </c>
      <c r="H94">
        <v>1.6</v>
      </c>
    </row>
    <row r="95" spans="2:8">
      <c r="B95" t="s">
        <v>4858</v>
      </c>
      <c r="C95">
        <v>1</v>
      </c>
      <c r="E95">
        <v>38875.97</v>
      </c>
      <c r="H95">
        <v>1.9</v>
      </c>
    </row>
    <row r="96" spans="2:8">
      <c r="B96" t="s">
        <v>4859</v>
      </c>
      <c r="C96">
        <v>3</v>
      </c>
      <c r="E96">
        <v>39382.949999999997</v>
      </c>
      <c r="H96">
        <v>1.18</v>
      </c>
    </row>
    <row r="97" spans="2:8">
      <c r="B97" t="s">
        <v>4860</v>
      </c>
      <c r="C97">
        <v>5</v>
      </c>
      <c r="E97">
        <v>39406.980000000003</v>
      </c>
      <c r="H97">
        <v>1.18</v>
      </c>
    </row>
    <row r="98" spans="2:8">
      <c r="B98" t="s">
        <v>4861</v>
      </c>
      <c r="C98">
        <v>2</v>
      </c>
      <c r="E98">
        <v>39493.800000000003</v>
      </c>
      <c r="H98">
        <v>0.93</v>
      </c>
    </row>
    <row r="99" spans="2:8">
      <c r="B99" t="s">
        <v>4862</v>
      </c>
      <c r="C99">
        <v>2</v>
      </c>
      <c r="E99">
        <v>39674.89</v>
      </c>
      <c r="H99">
        <v>1.91</v>
      </c>
    </row>
    <row r="100" spans="2:8">
      <c r="B100" t="s">
        <v>4863</v>
      </c>
      <c r="C100">
        <v>4</v>
      </c>
      <c r="E100">
        <v>40087.01</v>
      </c>
      <c r="H100">
        <v>1.36</v>
      </c>
    </row>
    <row r="101" spans="2:8">
      <c r="B101" t="s">
        <v>4864</v>
      </c>
      <c r="C101">
        <v>6</v>
      </c>
      <c r="E101">
        <v>40290.44</v>
      </c>
      <c r="H101">
        <v>1.3</v>
      </c>
    </row>
    <row r="102" spans="2:8">
      <c r="B102" t="s">
        <v>4865</v>
      </c>
      <c r="C102">
        <v>4</v>
      </c>
      <c r="E102">
        <v>40361.919999999998</v>
      </c>
      <c r="H102">
        <v>1.32</v>
      </c>
    </row>
    <row r="103" spans="2:8">
      <c r="B103" t="s">
        <v>4866</v>
      </c>
      <c r="C103">
        <v>1</v>
      </c>
      <c r="E103">
        <v>40497.480000000003</v>
      </c>
      <c r="H103">
        <v>2.1800000000000002</v>
      </c>
    </row>
    <row r="104" spans="2:8">
      <c r="B104" t="s">
        <v>4867</v>
      </c>
      <c r="C104">
        <v>2</v>
      </c>
      <c r="E104">
        <v>40888.050000000003</v>
      </c>
      <c r="H104">
        <v>0.82</v>
      </c>
    </row>
    <row r="105" spans="2:8">
      <c r="B105" t="s">
        <v>4868</v>
      </c>
      <c r="C105">
        <v>6</v>
      </c>
      <c r="E105">
        <v>41023.22</v>
      </c>
      <c r="H105">
        <v>1.23</v>
      </c>
    </row>
    <row r="106" spans="2:8">
      <c r="B106" t="s">
        <v>4869</v>
      </c>
      <c r="C106">
        <v>5</v>
      </c>
      <c r="E106">
        <v>41225.019999999997</v>
      </c>
      <c r="H106">
        <v>1.27</v>
      </c>
    </row>
    <row r="107" spans="2:8">
      <c r="B107" t="s">
        <v>4870</v>
      </c>
      <c r="C107">
        <v>3</v>
      </c>
      <c r="E107">
        <v>41231.980000000003</v>
      </c>
      <c r="H107">
        <v>1.08</v>
      </c>
    </row>
    <row r="108" spans="2:8">
      <c r="B108" t="s">
        <v>4871</v>
      </c>
      <c r="C108">
        <v>4</v>
      </c>
      <c r="E108">
        <v>41725.58</v>
      </c>
      <c r="H108">
        <v>1.04</v>
      </c>
    </row>
    <row r="109" spans="2:8">
      <c r="B109" t="s">
        <v>4872</v>
      </c>
      <c r="C109">
        <v>3</v>
      </c>
      <c r="E109">
        <v>41875.93</v>
      </c>
      <c r="H109">
        <v>1.3</v>
      </c>
    </row>
    <row r="110" spans="2:8">
      <c r="B110" t="s">
        <v>4873</v>
      </c>
      <c r="C110">
        <v>1</v>
      </c>
      <c r="E110">
        <v>42299.83</v>
      </c>
      <c r="H110">
        <v>1</v>
      </c>
    </row>
    <row r="111" spans="2:8">
      <c r="B111" t="s">
        <v>4874</v>
      </c>
      <c r="C111">
        <v>4</v>
      </c>
      <c r="E111">
        <v>42310.25</v>
      </c>
      <c r="H111">
        <v>1.22</v>
      </c>
    </row>
    <row r="112" spans="2:8">
      <c r="B112" t="s">
        <v>4874</v>
      </c>
      <c r="C112">
        <v>3</v>
      </c>
      <c r="E112">
        <v>42316.68</v>
      </c>
      <c r="H112">
        <v>1.03</v>
      </c>
    </row>
    <row r="113" spans="2:8">
      <c r="B113" t="s">
        <v>4875</v>
      </c>
      <c r="C113">
        <v>1</v>
      </c>
      <c r="E113">
        <v>42422.36</v>
      </c>
      <c r="H113">
        <v>1.86</v>
      </c>
    </row>
    <row r="114" spans="2:8">
      <c r="B114" t="s">
        <v>4876</v>
      </c>
      <c r="C114">
        <v>0</v>
      </c>
      <c r="E114">
        <v>42582.75</v>
      </c>
    </row>
    <row r="115" spans="2:8">
      <c r="B115" t="s">
        <v>4877</v>
      </c>
      <c r="C115">
        <v>2</v>
      </c>
      <c r="E115">
        <v>42658.36</v>
      </c>
      <c r="H115">
        <v>1.41</v>
      </c>
    </row>
    <row r="116" spans="2:8">
      <c r="B116" t="s">
        <v>4878</v>
      </c>
      <c r="C116">
        <v>4</v>
      </c>
      <c r="E116">
        <v>42746.57</v>
      </c>
      <c r="H116">
        <v>1.32</v>
      </c>
    </row>
    <row r="117" spans="2:8">
      <c r="B117" t="s">
        <v>4879</v>
      </c>
      <c r="C117">
        <v>3</v>
      </c>
      <c r="E117">
        <v>43011.56</v>
      </c>
      <c r="H117">
        <v>1.05</v>
      </c>
    </row>
    <row r="118" spans="2:8">
      <c r="B118" t="s">
        <v>4880</v>
      </c>
      <c r="C118">
        <v>5</v>
      </c>
      <c r="E118">
        <v>43401.82</v>
      </c>
      <c r="H118">
        <v>1.22</v>
      </c>
    </row>
    <row r="119" spans="2:8">
      <c r="B119" t="s">
        <v>4881</v>
      </c>
      <c r="C119">
        <v>2</v>
      </c>
      <c r="E119">
        <v>43437.13</v>
      </c>
      <c r="H119">
        <v>1</v>
      </c>
    </row>
    <row r="120" spans="2:8">
      <c r="B120" t="s">
        <v>4882</v>
      </c>
      <c r="C120">
        <v>3</v>
      </c>
      <c r="E120">
        <v>43515.75</v>
      </c>
      <c r="H120">
        <v>1.21</v>
      </c>
    </row>
    <row r="121" spans="2:8">
      <c r="B121" t="s">
        <v>4883</v>
      </c>
      <c r="C121">
        <v>2</v>
      </c>
      <c r="E121">
        <v>43610.81</v>
      </c>
      <c r="H121">
        <v>1.05</v>
      </c>
    </row>
    <row r="122" spans="2:8">
      <c r="B122" t="s">
        <v>4884</v>
      </c>
      <c r="C122">
        <v>4</v>
      </c>
      <c r="E122">
        <v>43754.64</v>
      </c>
      <c r="H122">
        <v>1.05</v>
      </c>
    </row>
    <row r="123" spans="2:8">
      <c r="B123" t="s">
        <v>4885</v>
      </c>
      <c r="C123">
        <v>4</v>
      </c>
      <c r="E123">
        <v>43863.69</v>
      </c>
      <c r="H123">
        <v>1.2</v>
      </c>
    </row>
    <row r="124" spans="2:8">
      <c r="B124" t="s">
        <v>4886</v>
      </c>
      <c r="C124">
        <v>5</v>
      </c>
      <c r="E124">
        <v>43876.12</v>
      </c>
      <c r="H124">
        <v>1.1299999999999999</v>
      </c>
    </row>
    <row r="125" spans="2:8">
      <c r="B125" t="s">
        <v>4887</v>
      </c>
      <c r="C125">
        <v>2</v>
      </c>
      <c r="E125">
        <v>44075.34</v>
      </c>
      <c r="H125">
        <v>1.1599999999999999</v>
      </c>
    </row>
    <row r="126" spans="2:8">
      <c r="B126" t="s">
        <v>4888</v>
      </c>
      <c r="C126">
        <v>3</v>
      </c>
      <c r="E126">
        <v>44144.14</v>
      </c>
      <c r="H126">
        <v>1.1299999999999999</v>
      </c>
    </row>
    <row r="127" spans="2:8">
      <c r="B127" t="s">
        <v>4889</v>
      </c>
      <c r="C127">
        <v>1</v>
      </c>
      <c r="E127">
        <v>44474.879999999997</v>
      </c>
      <c r="H127">
        <v>1.01</v>
      </c>
    </row>
    <row r="128" spans="2:8">
      <c r="B128" t="s">
        <v>4554</v>
      </c>
      <c r="C128">
        <v>2</v>
      </c>
      <c r="E128">
        <v>44662.97</v>
      </c>
      <c r="H128">
        <v>1.31</v>
      </c>
    </row>
    <row r="129" spans="2:8">
      <c r="B129" t="s">
        <v>4890</v>
      </c>
      <c r="C129">
        <v>1</v>
      </c>
      <c r="E129">
        <v>44729.93</v>
      </c>
      <c r="H129">
        <v>1.01</v>
      </c>
    </row>
    <row r="130" spans="2:8">
      <c r="B130" t="s">
        <v>4891</v>
      </c>
      <c r="C130">
        <v>6</v>
      </c>
      <c r="E130">
        <v>44839.09</v>
      </c>
      <c r="H130">
        <v>1.19</v>
      </c>
    </row>
    <row r="131" spans="2:8">
      <c r="B131" t="s">
        <v>4892</v>
      </c>
      <c r="C131">
        <v>3</v>
      </c>
      <c r="E131">
        <v>44869.71</v>
      </c>
      <c r="H131">
        <v>1.35</v>
      </c>
    </row>
    <row r="132" spans="2:8">
      <c r="B132" t="s">
        <v>4893</v>
      </c>
      <c r="C132">
        <v>4</v>
      </c>
      <c r="E132">
        <v>44892.67</v>
      </c>
      <c r="H132">
        <v>1.22</v>
      </c>
    </row>
    <row r="133" spans="2:8">
      <c r="B133" t="s">
        <v>4894</v>
      </c>
      <c r="C133">
        <v>5</v>
      </c>
      <c r="E133">
        <v>44921.120000000003</v>
      </c>
      <c r="H133">
        <v>1.27</v>
      </c>
    </row>
    <row r="134" spans="2:8">
      <c r="B134" t="s">
        <v>4895</v>
      </c>
      <c r="C134">
        <v>6</v>
      </c>
      <c r="E134">
        <v>45315.88</v>
      </c>
      <c r="H134">
        <v>1.3</v>
      </c>
    </row>
    <row r="135" spans="2:8">
      <c r="B135" t="s">
        <v>4896</v>
      </c>
      <c r="C135">
        <v>4</v>
      </c>
      <c r="E135">
        <v>45388.69</v>
      </c>
      <c r="H135">
        <v>1.07</v>
      </c>
    </row>
    <row r="136" spans="2:8">
      <c r="B136" t="s">
        <v>4897</v>
      </c>
      <c r="C136">
        <v>2</v>
      </c>
      <c r="E136">
        <v>45503.45</v>
      </c>
      <c r="H136">
        <v>1.32</v>
      </c>
    </row>
    <row r="137" spans="2:8">
      <c r="B137" t="s">
        <v>4898</v>
      </c>
      <c r="C137">
        <v>3</v>
      </c>
      <c r="E137">
        <v>45561.99</v>
      </c>
      <c r="H137">
        <v>1</v>
      </c>
    </row>
    <row r="138" spans="2:8">
      <c r="B138" t="s">
        <v>4899</v>
      </c>
      <c r="C138">
        <v>5</v>
      </c>
      <c r="E138">
        <v>45758.63</v>
      </c>
      <c r="H138">
        <v>1.23</v>
      </c>
    </row>
    <row r="139" spans="2:8">
      <c r="B139" t="s">
        <v>4900</v>
      </c>
      <c r="C139">
        <v>3</v>
      </c>
      <c r="E139">
        <v>45774.55</v>
      </c>
      <c r="H139">
        <v>1.1200000000000001</v>
      </c>
    </row>
    <row r="140" spans="2:8">
      <c r="B140" t="s">
        <v>4901</v>
      </c>
      <c r="C140">
        <v>2</v>
      </c>
      <c r="E140">
        <v>46169.54</v>
      </c>
      <c r="H140">
        <v>1.19</v>
      </c>
    </row>
    <row r="141" spans="2:8">
      <c r="B141" t="s">
        <v>4902</v>
      </c>
      <c r="C141">
        <v>1</v>
      </c>
      <c r="E141">
        <v>46202.36</v>
      </c>
      <c r="H141">
        <v>0.62</v>
      </c>
    </row>
    <row r="142" spans="2:8">
      <c r="B142" t="s">
        <v>4903</v>
      </c>
      <c r="C142">
        <v>4</v>
      </c>
      <c r="E142">
        <v>46263.46</v>
      </c>
      <c r="H142">
        <v>1.1200000000000001</v>
      </c>
    </row>
    <row r="143" spans="2:8">
      <c r="B143" t="s">
        <v>4904</v>
      </c>
      <c r="C143">
        <v>3</v>
      </c>
      <c r="E143">
        <v>46327.99</v>
      </c>
      <c r="H143">
        <v>1.1100000000000001</v>
      </c>
    </row>
    <row r="144" spans="2:8">
      <c r="B144" t="s">
        <v>4905</v>
      </c>
      <c r="C144">
        <v>2</v>
      </c>
      <c r="E144">
        <v>46406.9</v>
      </c>
      <c r="H144">
        <v>1.1499999999999999</v>
      </c>
    </row>
    <row r="145" spans="1:8">
      <c r="B145" t="s">
        <v>4906</v>
      </c>
      <c r="C145">
        <v>1</v>
      </c>
      <c r="E145">
        <v>46515.45</v>
      </c>
      <c r="H145">
        <v>1.19</v>
      </c>
    </row>
    <row r="146" spans="1:8">
      <c r="B146" t="s">
        <v>4907</v>
      </c>
      <c r="C146">
        <v>3</v>
      </c>
      <c r="E146">
        <v>46776.29</v>
      </c>
      <c r="H146">
        <v>1.25</v>
      </c>
    </row>
    <row r="147" spans="1:8">
      <c r="B147" t="s">
        <v>4908</v>
      </c>
      <c r="C147">
        <v>2</v>
      </c>
      <c r="E147">
        <v>46812.87</v>
      </c>
      <c r="H147">
        <v>1.1499999999999999</v>
      </c>
    </row>
    <row r="148" spans="1:8">
      <c r="B148" t="s">
        <v>4909</v>
      </c>
      <c r="C148" t="s">
        <v>4448</v>
      </c>
      <c r="E148">
        <v>46947.12</v>
      </c>
    </row>
    <row r="149" spans="1:8">
      <c r="B149" t="s">
        <v>4910</v>
      </c>
      <c r="C149">
        <v>3</v>
      </c>
      <c r="E149">
        <v>47057.29</v>
      </c>
      <c r="H149">
        <v>1.21</v>
      </c>
    </row>
    <row r="150" spans="1:8">
      <c r="B150" t="s">
        <v>4911</v>
      </c>
      <c r="C150">
        <v>4</v>
      </c>
      <c r="E150">
        <v>47158.48</v>
      </c>
      <c r="H150">
        <v>1.1200000000000001</v>
      </c>
    </row>
    <row r="151" spans="1:8">
      <c r="A151" t="s">
        <v>4912</v>
      </c>
      <c r="B151" t="s">
        <v>157</v>
      </c>
      <c r="C151">
        <v>2</v>
      </c>
    </row>
    <row r="152" spans="1:8">
      <c r="A152" t="s">
        <v>4912</v>
      </c>
      <c r="B152" t="s">
        <v>157</v>
      </c>
      <c r="C152">
        <v>1</v>
      </c>
    </row>
    <row r="153" spans="1:8">
      <c r="A153" t="s">
        <v>4912</v>
      </c>
      <c r="B153" t="s">
        <v>157</v>
      </c>
      <c r="C153">
        <v>5</v>
      </c>
      <c r="E153">
        <v>47198.73</v>
      </c>
      <c r="H153">
        <v>1.57</v>
      </c>
    </row>
    <row r="154" spans="1:8">
      <c r="A154" t="s">
        <v>4912</v>
      </c>
      <c r="B154" t="s">
        <v>157</v>
      </c>
      <c r="C154">
        <v>4</v>
      </c>
      <c r="E154">
        <v>48737.440000000002</v>
      </c>
      <c r="H154">
        <v>1.5</v>
      </c>
    </row>
    <row r="155" spans="1:8">
      <c r="A155" t="s">
        <v>4912</v>
      </c>
      <c r="B155" t="s">
        <v>157</v>
      </c>
      <c r="C155">
        <v>3</v>
      </c>
      <c r="E155">
        <v>51138.13</v>
      </c>
      <c r="H155">
        <v>1.71</v>
      </c>
    </row>
    <row r="156" spans="1:8">
      <c r="B156" t="s">
        <v>4913</v>
      </c>
      <c r="C156">
        <v>5</v>
      </c>
      <c r="E156">
        <v>47200.25</v>
      </c>
      <c r="H156">
        <v>1.31</v>
      </c>
    </row>
    <row r="157" spans="1:8">
      <c r="B157" t="s">
        <v>4914</v>
      </c>
      <c r="C157">
        <v>1</v>
      </c>
      <c r="E157">
        <v>47477.05</v>
      </c>
      <c r="H157">
        <v>1.1399999999999999</v>
      </c>
    </row>
    <row r="158" spans="1:8">
      <c r="B158" t="s">
        <v>4915</v>
      </c>
      <c r="C158">
        <v>2</v>
      </c>
      <c r="E158">
        <v>47539.58</v>
      </c>
      <c r="H158">
        <v>0.99</v>
      </c>
    </row>
    <row r="159" spans="1:8">
      <c r="B159" t="s">
        <v>4916</v>
      </c>
      <c r="C159">
        <v>3</v>
      </c>
      <c r="E159">
        <v>47614.64</v>
      </c>
      <c r="H159">
        <v>1.1200000000000001</v>
      </c>
    </row>
    <row r="160" spans="1:8">
      <c r="B160" t="s">
        <v>4917</v>
      </c>
      <c r="C160">
        <v>3</v>
      </c>
      <c r="E160">
        <v>47827.68</v>
      </c>
      <c r="H160">
        <v>1.1100000000000001</v>
      </c>
    </row>
    <row r="161" spans="2:8">
      <c r="B161" t="s">
        <v>4918</v>
      </c>
      <c r="C161">
        <v>3</v>
      </c>
      <c r="E161">
        <v>47845.24</v>
      </c>
    </row>
    <row r="162" spans="2:8">
      <c r="B162" t="s">
        <v>4919</v>
      </c>
      <c r="C162">
        <v>4</v>
      </c>
      <c r="E162">
        <v>47853.53</v>
      </c>
      <c r="H162">
        <v>1.17</v>
      </c>
    </row>
    <row r="163" spans="2:8">
      <c r="B163" t="s">
        <v>4920</v>
      </c>
      <c r="C163">
        <v>2</v>
      </c>
      <c r="E163">
        <v>47934.89</v>
      </c>
      <c r="H163">
        <v>1.21</v>
      </c>
    </row>
    <row r="164" spans="2:8">
      <c r="B164" t="s">
        <v>4921</v>
      </c>
      <c r="C164">
        <v>3</v>
      </c>
      <c r="E164">
        <v>47957.97</v>
      </c>
    </row>
    <row r="165" spans="2:8">
      <c r="B165" t="s">
        <v>4922</v>
      </c>
      <c r="C165">
        <v>4</v>
      </c>
      <c r="E165">
        <v>48131.92</v>
      </c>
    </row>
    <row r="166" spans="2:8">
      <c r="B166" t="s">
        <v>4923</v>
      </c>
      <c r="C166">
        <v>3</v>
      </c>
      <c r="E166">
        <v>48302.559999999998</v>
      </c>
      <c r="H166">
        <v>1.1399999999999999</v>
      </c>
    </row>
    <row r="167" spans="2:8">
      <c r="B167" t="s">
        <v>4924</v>
      </c>
      <c r="C167">
        <v>1</v>
      </c>
      <c r="E167">
        <v>48338.080000000002</v>
      </c>
    </row>
    <row r="168" spans="2:8">
      <c r="B168" t="s">
        <v>4925</v>
      </c>
      <c r="C168">
        <v>1</v>
      </c>
      <c r="E168">
        <v>48409.32</v>
      </c>
      <c r="H168">
        <v>0.98</v>
      </c>
    </row>
    <row r="169" spans="2:8">
      <c r="B169" t="s">
        <v>4926</v>
      </c>
      <c r="C169">
        <v>4</v>
      </c>
      <c r="E169">
        <v>48525.87</v>
      </c>
      <c r="H169">
        <v>1.07</v>
      </c>
    </row>
    <row r="170" spans="2:8">
      <c r="B170" t="s">
        <v>4927</v>
      </c>
      <c r="C170">
        <v>1</v>
      </c>
      <c r="E170">
        <v>48546.45</v>
      </c>
    </row>
    <row r="171" spans="2:8">
      <c r="B171" t="s">
        <v>4928</v>
      </c>
      <c r="C171">
        <v>4</v>
      </c>
      <c r="E171">
        <v>48756.1</v>
      </c>
      <c r="H171">
        <v>1.1599999999999999</v>
      </c>
    </row>
    <row r="172" spans="2:8">
      <c r="B172" t="s">
        <v>4929</v>
      </c>
      <c r="C172">
        <v>2</v>
      </c>
      <c r="E172">
        <v>48773.49</v>
      </c>
      <c r="H172">
        <v>1.1499999999999999</v>
      </c>
    </row>
    <row r="173" spans="2:8">
      <c r="B173" t="s">
        <v>4930</v>
      </c>
      <c r="C173">
        <v>3</v>
      </c>
      <c r="E173">
        <v>48874.93</v>
      </c>
      <c r="H173">
        <v>1.28</v>
      </c>
    </row>
    <row r="174" spans="2:8">
      <c r="B174" t="s">
        <v>4931</v>
      </c>
      <c r="C174">
        <v>2</v>
      </c>
      <c r="E174">
        <v>48999.56</v>
      </c>
    </row>
    <row r="175" spans="2:8">
      <c r="B175" t="s">
        <v>4932</v>
      </c>
      <c r="C175">
        <v>1</v>
      </c>
      <c r="E175">
        <v>49053.599999999999</v>
      </c>
      <c r="H175">
        <v>0.89</v>
      </c>
    </row>
    <row r="176" spans="2:8">
      <c r="B176" t="s">
        <v>4933</v>
      </c>
      <c r="C176">
        <v>2</v>
      </c>
      <c r="E176">
        <v>49112.1</v>
      </c>
      <c r="H176">
        <v>1.1000000000000001</v>
      </c>
    </row>
    <row r="177" spans="2:8">
      <c r="B177" t="s">
        <v>4934</v>
      </c>
      <c r="C177">
        <v>3</v>
      </c>
      <c r="E177">
        <v>49138.11</v>
      </c>
      <c r="H177">
        <v>1.23</v>
      </c>
    </row>
    <row r="178" spans="2:8">
      <c r="B178" t="s">
        <v>4935</v>
      </c>
      <c r="C178">
        <v>3</v>
      </c>
      <c r="E178">
        <v>49202.03</v>
      </c>
    </row>
    <row r="179" spans="2:8">
      <c r="B179" t="s">
        <v>4936</v>
      </c>
      <c r="C179">
        <v>3</v>
      </c>
      <c r="E179">
        <v>49461.19</v>
      </c>
    </row>
    <row r="180" spans="2:8">
      <c r="B180" t="s">
        <v>4937</v>
      </c>
      <c r="C180">
        <v>4</v>
      </c>
      <c r="E180">
        <v>49481.99</v>
      </c>
      <c r="H180">
        <v>1.2</v>
      </c>
    </row>
    <row r="181" spans="2:8">
      <c r="B181" t="s">
        <v>4938</v>
      </c>
      <c r="C181">
        <v>5</v>
      </c>
      <c r="E181">
        <v>49534.28</v>
      </c>
    </row>
    <row r="182" spans="2:8">
      <c r="B182" t="s">
        <v>4939</v>
      </c>
      <c r="C182">
        <v>2</v>
      </c>
      <c r="E182">
        <v>49614.84</v>
      </c>
      <c r="H182">
        <v>1.1000000000000001</v>
      </c>
    </row>
    <row r="183" spans="2:8">
      <c r="B183" t="s">
        <v>4940</v>
      </c>
      <c r="C183">
        <v>3</v>
      </c>
      <c r="E183">
        <v>49680.45</v>
      </c>
    </row>
    <row r="184" spans="2:8">
      <c r="B184" t="s">
        <v>4941</v>
      </c>
      <c r="C184">
        <v>2</v>
      </c>
      <c r="E184">
        <v>49872.57</v>
      </c>
      <c r="H184">
        <v>0.93</v>
      </c>
    </row>
    <row r="185" spans="2:8">
      <c r="B185" t="s">
        <v>4942</v>
      </c>
      <c r="C185">
        <v>3</v>
      </c>
      <c r="E185">
        <v>49903.54</v>
      </c>
    </row>
    <row r="186" spans="2:8">
      <c r="B186" t="s">
        <v>4943</v>
      </c>
      <c r="C186">
        <v>3</v>
      </c>
      <c r="E186">
        <v>49947.06</v>
      </c>
      <c r="H186">
        <v>1.19</v>
      </c>
    </row>
    <row r="187" spans="2:8">
      <c r="B187" t="s">
        <v>4944</v>
      </c>
      <c r="C187">
        <v>1</v>
      </c>
      <c r="E187">
        <v>50007.360000000001</v>
      </c>
      <c r="H187">
        <v>1.42</v>
      </c>
    </row>
    <row r="188" spans="2:8">
      <c r="B188" t="s">
        <v>4740</v>
      </c>
      <c r="C188">
        <v>3</v>
      </c>
      <c r="E188">
        <v>50153.57</v>
      </c>
      <c r="H188">
        <v>1.1599999999999999</v>
      </c>
    </row>
    <row r="189" spans="2:8">
      <c r="B189" t="s">
        <v>4945</v>
      </c>
      <c r="C189">
        <v>4</v>
      </c>
      <c r="E189">
        <v>50274.91</v>
      </c>
      <c r="H189">
        <v>1.1200000000000001</v>
      </c>
    </row>
    <row r="190" spans="2:8">
      <c r="B190" t="s">
        <v>4946</v>
      </c>
      <c r="C190">
        <v>4</v>
      </c>
      <c r="E190">
        <v>50293.56</v>
      </c>
      <c r="H190">
        <v>1.18</v>
      </c>
    </row>
    <row r="191" spans="2:8">
      <c r="B191" t="s">
        <v>4947</v>
      </c>
      <c r="C191">
        <v>2</v>
      </c>
      <c r="E191">
        <v>50311.71</v>
      </c>
      <c r="H191">
        <v>1.1499999999999999</v>
      </c>
    </row>
    <row r="192" spans="2:8">
      <c r="B192" t="s">
        <v>4948</v>
      </c>
      <c r="C192">
        <v>3</v>
      </c>
      <c r="E192">
        <v>50329.97</v>
      </c>
      <c r="H192">
        <v>1.22</v>
      </c>
    </row>
    <row r="193" spans="1:8">
      <c r="B193" t="s">
        <v>4949</v>
      </c>
      <c r="C193">
        <v>5</v>
      </c>
      <c r="E193">
        <v>50377.19</v>
      </c>
      <c r="H193">
        <v>1.19</v>
      </c>
    </row>
    <row r="194" spans="1:8">
      <c r="B194" t="s">
        <v>4950</v>
      </c>
      <c r="C194">
        <v>3</v>
      </c>
      <c r="E194">
        <v>50453.8</v>
      </c>
    </row>
    <row r="195" spans="1:8">
      <c r="B195" t="s">
        <v>4951</v>
      </c>
      <c r="C195">
        <v>4</v>
      </c>
      <c r="E195">
        <v>50503.53</v>
      </c>
      <c r="H195">
        <v>1.19</v>
      </c>
    </row>
    <row r="196" spans="1:8">
      <c r="B196" t="s">
        <v>4952</v>
      </c>
      <c r="C196">
        <v>3</v>
      </c>
      <c r="E196">
        <v>50530.59</v>
      </c>
    </row>
    <row r="197" spans="1:8">
      <c r="B197" t="s">
        <v>4450</v>
      </c>
      <c r="C197">
        <v>1</v>
      </c>
      <c r="E197">
        <v>50589.89</v>
      </c>
      <c r="H197">
        <v>1.06</v>
      </c>
    </row>
    <row r="198" spans="1:8">
      <c r="B198" t="s">
        <v>4953</v>
      </c>
      <c r="C198">
        <v>6</v>
      </c>
      <c r="E198">
        <v>50630.26</v>
      </c>
      <c r="H198">
        <v>1.1299999999999999</v>
      </c>
    </row>
    <row r="199" spans="1:8">
      <c r="B199" t="s">
        <v>4954</v>
      </c>
      <c r="C199">
        <v>1</v>
      </c>
      <c r="E199">
        <v>50670.83</v>
      </c>
      <c r="H199">
        <v>1.19</v>
      </c>
    </row>
    <row r="200" spans="1:8">
      <c r="B200" t="s">
        <v>4955</v>
      </c>
      <c r="C200">
        <v>5</v>
      </c>
      <c r="E200">
        <v>50902.87</v>
      </c>
      <c r="H200">
        <v>1.19</v>
      </c>
    </row>
    <row r="201" spans="1:8">
      <c r="B201" t="s">
        <v>4956</v>
      </c>
      <c r="C201">
        <v>4</v>
      </c>
      <c r="E201">
        <v>50937.24</v>
      </c>
      <c r="H201">
        <v>1.18</v>
      </c>
    </row>
    <row r="202" spans="1:8">
      <c r="B202" t="s">
        <v>4957</v>
      </c>
      <c r="C202">
        <v>2</v>
      </c>
      <c r="E202">
        <v>50989.77</v>
      </c>
      <c r="H202">
        <v>1.1200000000000001</v>
      </c>
    </row>
    <row r="203" spans="1:8">
      <c r="A203" t="s">
        <v>4912</v>
      </c>
      <c r="B203" t="s">
        <v>133</v>
      </c>
      <c r="C203">
        <v>1</v>
      </c>
    </row>
    <row r="204" spans="1:8">
      <c r="A204" t="s">
        <v>4912</v>
      </c>
      <c r="B204" t="s">
        <v>133</v>
      </c>
      <c r="C204">
        <v>0</v>
      </c>
    </row>
    <row r="205" spans="1:8">
      <c r="A205" t="s">
        <v>4912</v>
      </c>
      <c r="B205" t="s">
        <v>133</v>
      </c>
      <c r="C205">
        <v>4</v>
      </c>
      <c r="E205">
        <v>51038.49</v>
      </c>
      <c r="H205">
        <v>1.59</v>
      </c>
    </row>
    <row r="206" spans="1:8">
      <c r="A206" t="s">
        <v>4912</v>
      </c>
      <c r="B206" t="s">
        <v>133</v>
      </c>
      <c r="C206">
        <v>2</v>
      </c>
      <c r="E206">
        <v>52148.69</v>
      </c>
      <c r="H206">
        <v>1.8</v>
      </c>
    </row>
    <row r="207" spans="1:8">
      <c r="A207" t="s">
        <v>4912</v>
      </c>
      <c r="B207" t="s">
        <v>133</v>
      </c>
      <c r="C207">
        <v>3</v>
      </c>
      <c r="E207">
        <v>52401.81</v>
      </c>
    </row>
    <row r="208" spans="1:8">
      <c r="B208" t="s">
        <v>4958</v>
      </c>
      <c r="C208">
        <v>3</v>
      </c>
      <c r="E208">
        <v>51042.76</v>
      </c>
      <c r="H208">
        <v>1.25</v>
      </c>
    </row>
    <row r="209" spans="2:8">
      <c r="B209" t="s">
        <v>4959</v>
      </c>
      <c r="C209">
        <v>0</v>
      </c>
      <c r="E209">
        <v>51166.38</v>
      </c>
    </row>
    <row r="210" spans="2:8">
      <c r="B210" t="s">
        <v>4960</v>
      </c>
      <c r="C210">
        <v>1</v>
      </c>
      <c r="E210">
        <v>51217.74</v>
      </c>
      <c r="H210">
        <v>0.66</v>
      </c>
    </row>
    <row r="211" spans="2:8">
      <c r="B211" t="s">
        <v>4961</v>
      </c>
      <c r="C211">
        <v>3</v>
      </c>
      <c r="E211">
        <v>51228.63</v>
      </c>
      <c r="H211">
        <v>1.27</v>
      </c>
    </row>
    <row r="212" spans="2:8">
      <c r="B212" t="s">
        <v>4962</v>
      </c>
      <c r="C212">
        <v>2</v>
      </c>
      <c r="E212">
        <v>51311.24</v>
      </c>
      <c r="H212">
        <v>0.9</v>
      </c>
    </row>
    <row r="213" spans="2:8">
      <c r="B213" t="s">
        <v>4963</v>
      </c>
      <c r="C213">
        <v>4</v>
      </c>
      <c r="E213">
        <v>51329.3</v>
      </c>
      <c r="H213">
        <v>1.07</v>
      </c>
    </row>
    <row r="214" spans="2:8">
      <c r="B214" t="s">
        <v>4964</v>
      </c>
      <c r="C214">
        <v>2</v>
      </c>
      <c r="E214">
        <v>51545.88</v>
      </c>
      <c r="H214">
        <v>1.5</v>
      </c>
    </row>
    <row r="215" spans="2:8">
      <c r="B215" t="s">
        <v>4965</v>
      </c>
      <c r="C215">
        <v>2</v>
      </c>
      <c r="E215">
        <v>51655.94</v>
      </c>
      <c r="H215">
        <v>1.0900000000000001</v>
      </c>
    </row>
    <row r="216" spans="2:8">
      <c r="B216" t="s">
        <v>4966</v>
      </c>
      <c r="C216">
        <v>3</v>
      </c>
      <c r="E216">
        <v>51758.65</v>
      </c>
      <c r="H216">
        <v>1.1299999999999999</v>
      </c>
    </row>
    <row r="217" spans="2:8">
      <c r="B217" t="s">
        <v>4967</v>
      </c>
      <c r="C217">
        <v>6</v>
      </c>
      <c r="E217">
        <v>52042.6</v>
      </c>
      <c r="H217">
        <v>1.17</v>
      </c>
    </row>
    <row r="218" spans="2:8">
      <c r="B218" t="s">
        <v>4968</v>
      </c>
      <c r="C218">
        <v>3</v>
      </c>
      <c r="E218">
        <v>52138.11</v>
      </c>
      <c r="H218">
        <v>1.08</v>
      </c>
    </row>
    <row r="219" spans="2:8">
      <c r="B219" t="s">
        <v>4969</v>
      </c>
      <c r="C219">
        <v>2</v>
      </c>
      <c r="E219">
        <v>52162.03</v>
      </c>
      <c r="H219">
        <v>1.21</v>
      </c>
    </row>
    <row r="220" spans="2:8">
      <c r="B220" t="s">
        <v>4970</v>
      </c>
      <c r="C220">
        <v>2</v>
      </c>
      <c r="E220">
        <v>52337.78</v>
      </c>
    </row>
    <row r="221" spans="2:8">
      <c r="B221" t="s">
        <v>4971</v>
      </c>
      <c r="C221">
        <v>1</v>
      </c>
      <c r="E221">
        <v>52374.93</v>
      </c>
      <c r="H221">
        <v>1.1399999999999999</v>
      </c>
    </row>
    <row r="222" spans="2:8">
      <c r="B222" t="s">
        <v>4972</v>
      </c>
      <c r="C222">
        <v>4</v>
      </c>
      <c r="E222">
        <v>52490.559999999998</v>
      </c>
      <c r="H222">
        <v>1.1100000000000001</v>
      </c>
    </row>
    <row r="223" spans="2:8">
      <c r="B223" t="s">
        <v>4973</v>
      </c>
      <c r="C223">
        <v>3</v>
      </c>
      <c r="E223">
        <v>52563.81</v>
      </c>
    </row>
    <row r="224" spans="2:8">
      <c r="B224" t="s">
        <v>4974</v>
      </c>
      <c r="C224">
        <v>3</v>
      </c>
      <c r="E224">
        <v>52604.13</v>
      </c>
      <c r="H224">
        <v>0.99</v>
      </c>
    </row>
    <row r="225" spans="2:8">
      <c r="B225" t="s">
        <v>4975</v>
      </c>
      <c r="C225">
        <v>3</v>
      </c>
      <c r="E225">
        <v>52677.58</v>
      </c>
    </row>
    <row r="226" spans="2:8">
      <c r="B226" t="s">
        <v>4976</v>
      </c>
      <c r="C226">
        <v>4</v>
      </c>
      <c r="E226">
        <v>52715.839999999997</v>
      </c>
      <c r="H226">
        <v>1.1299999999999999</v>
      </c>
    </row>
    <row r="227" spans="2:8">
      <c r="B227" t="s">
        <v>4977</v>
      </c>
      <c r="C227">
        <v>6</v>
      </c>
      <c r="E227">
        <v>52801.9</v>
      </c>
      <c r="H227">
        <v>1.1299999999999999</v>
      </c>
    </row>
    <row r="228" spans="2:8">
      <c r="B228" t="s">
        <v>4978</v>
      </c>
      <c r="C228">
        <v>3</v>
      </c>
      <c r="E228">
        <v>52937.599999999999</v>
      </c>
      <c r="H228">
        <v>1.24</v>
      </c>
    </row>
    <row r="229" spans="2:8">
      <c r="B229" t="s">
        <v>4979</v>
      </c>
      <c r="C229">
        <v>2</v>
      </c>
      <c r="E229">
        <v>53073.24</v>
      </c>
      <c r="H229">
        <v>1.2</v>
      </c>
    </row>
    <row r="230" spans="2:8">
      <c r="B230" t="s">
        <v>4980</v>
      </c>
      <c r="C230">
        <v>4</v>
      </c>
      <c r="E230">
        <v>53131.25</v>
      </c>
      <c r="H230">
        <v>1.19</v>
      </c>
    </row>
    <row r="231" spans="2:8">
      <c r="B231" t="s">
        <v>4768</v>
      </c>
      <c r="C231">
        <v>3</v>
      </c>
      <c r="E231">
        <v>53338.22</v>
      </c>
      <c r="H231">
        <v>1.39</v>
      </c>
    </row>
    <row r="232" spans="2:8">
      <c r="B232" t="s">
        <v>4981</v>
      </c>
      <c r="C232">
        <v>2</v>
      </c>
      <c r="E232">
        <v>53424.05</v>
      </c>
    </row>
    <row r="233" spans="2:8">
      <c r="B233" t="s">
        <v>4982</v>
      </c>
      <c r="C233">
        <v>4</v>
      </c>
      <c r="E233">
        <v>53447.29</v>
      </c>
      <c r="H233">
        <v>1.1299999999999999</v>
      </c>
    </row>
    <row r="234" spans="2:8">
      <c r="B234" t="s">
        <v>4983</v>
      </c>
      <c r="C234">
        <v>1</v>
      </c>
      <c r="E234">
        <v>53454.11</v>
      </c>
    </row>
    <row r="235" spans="2:8">
      <c r="B235" t="s">
        <v>4984</v>
      </c>
      <c r="C235">
        <v>6</v>
      </c>
      <c r="E235">
        <v>53572.09</v>
      </c>
      <c r="H235">
        <v>1.1000000000000001</v>
      </c>
    </row>
    <row r="236" spans="2:8">
      <c r="B236">
        <v>5359</v>
      </c>
      <c r="C236">
        <v>2</v>
      </c>
      <c r="E236">
        <v>53594.54</v>
      </c>
    </row>
    <row r="237" spans="2:8">
      <c r="B237" t="s">
        <v>4985</v>
      </c>
      <c r="C237">
        <v>2</v>
      </c>
      <c r="E237">
        <v>53647.07</v>
      </c>
    </row>
    <row r="238" spans="2:8">
      <c r="B238">
        <v>5375</v>
      </c>
      <c r="C238">
        <v>3</v>
      </c>
      <c r="E238">
        <v>53758.43</v>
      </c>
    </row>
    <row r="239" spans="2:8">
      <c r="B239" t="s">
        <v>4986</v>
      </c>
      <c r="C239">
        <v>3</v>
      </c>
      <c r="E239">
        <v>53886.85</v>
      </c>
    </row>
    <row r="240" spans="2:8">
      <c r="B240" t="s">
        <v>4987</v>
      </c>
      <c r="C240">
        <v>2</v>
      </c>
      <c r="E240">
        <v>54049.89</v>
      </c>
      <c r="H240">
        <v>0.96</v>
      </c>
    </row>
    <row r="241" spans="2:8">
      <c r="B241" t="s">
        <v>4988</v>
      </c>
      <c r="C241">
        <v>2</v>
      </c>
      <c r="E241">
        <v>54064.4</v>
      </c>
    </row>
    <row r="242" spans="2:8">
      <c r="B242" t="s">
        <v>4989</v>
      </c>
      <c r="C242">
        <v>1</v>
      </c>
      <c r="E242">
        <v>54302.45</v>
      </c>
      <c r="H242">
        <v>1.57</v>
      </c>
    </row>
    <row r="243" spans="2:8">
      <c r="B243" t="s">
        <v>4990</v>
      </c>
      <c r="C243">
        <v>6</v>
      </c>
      <c r="E243">
        <v>54328.11</v>
      </c>
      <c r="H243">
        <v>1.21</v>
      </c>
    </row>
    <row r="244" spans="2:8">
      <c r="B244" t="s">
        <v>4991</v>
      </c>
      <c r="C244">
        <v>1</v>
      </c>
      <c r="E244">
        <v>54484.27</v>
      </c>
      <c r="H244">
        <v>0.59</v>
      </c>
    </row>
    <row r="245" spans="2:8">
      <c r="B245">
        <v>5467</v>
      </c>
      <c r="C245">
        <v>3</v>
      </c>
      <c r="E245">
        <v>54676.959999999999</v>
      </c>
      <c r="H245">
        <v>1.82</v>
      </c>
    </row>
    <row r="246" spans="2:8">
      <c r="B246" t="s">
        <v>4992</v>
      </c>
      <c r="C246">
        <v>2</v>
      </c>
      <c r="E246">
        <v>54753.2</v>
      </c>
    </row>
    <row r="247" spans="2:8">
      <c r="B247" t="s">
        <v>4993</v>
      </c>
      <c r="C247">
        <v>1</v>
      </c>
      <c r="E247">
        <v>54800.46</v>
      </c>
      <c r="H247">
        <v>1.46</v>
      </c>
    </row>
    <row r="248" spans="2:8">
      <c r="B248">
        <v>5484</v>
      </c>
      <c r="C248" t="s">
        <v>4448</v>
      </c>
      <c r="E248">
        <v>54847.38</v>
      </c>
    </row>
    <row r="249" spans="2:8">
      <c r="B249" t="s">
        <v>4994</v>
      </c>
      <c r="C249">
        <v>2</v>
      </c>
      <c r="E249">
        <v>54867.69</v>
      </c>
    </row>
    <row r="250" spans="2:8">
      <c r="B250">
        <v>5538</v>
      </c>
      <c r="C250">
        <v>3</v>
      </c>
      <c r="E250">
        <v>55388.87</v>
      </c>
      <c r="H250">
        <v>1.78</v>
      </c>
    </row>
    <row r="251" spans="2:8">
      <c r="B251">
        <v>5540</v>
      </c>
      <c r="C251">
        <v>5</v>
      </c>
      <c r="E251">
        <v>55402.47</v>
      </c>
      <c r="H251">
        <v>1.4</v>
      </c>
    </row>
    <row r="252" spans="2:8">
      <c r="B252">
        <v>5541</v>
      </c>
      <c r="C252">
        <v>4</v>
      </c>
      <c r="E252">
        <v>55419</v>
      </c>
    </row>
    <row r="253" spans="2:8">
      <c r="B253">
        <v>5609</v>
      </c>
      <c r="C253">
        <v>2</v>
      </c>
      <c r="E253">
        <v>56092.46</v>
      </c>
    </row>
    <row r="254" spans="2:8">
      <c r="B254">
        <v>5622</v>
      </c>
      <c r="C254">
        <v>5</v>
      </c>
      <c r="E254">
        <v>56222.41</v>
      </c>
    </row>
    <row r="255" spans="2:8">
      <c r="B255">
        <v>5672</v>
      </c>
      <c r="C255">
        <v>4</v>
      </c>
      <c r="E255">
        <v>56729.16</v>
      </c>
    </row>
    <row r="256" spans="2:8">
      <c r="B256" t="s">
        <v>4995</v>
      </c>
      <c r="C256">
        <v>1</v>
      </c>
      <c r="E256">
        <v>57122.3</v>
      </c>
      <c r="H256">
        <v>1.29</v>
      </c>
    </row>
    <row r="257" spans="2:5">
      <c r="B257">
        <v>5733</v>
      </c>
      <c r="C257">
        <v>3</v>
      </c>
      <c r="E257">
        <v>57334.23</v>
      </c>
    </row>
    <row r="258" spans="2:5">
      <c r="B258">
        <v>5782</v>
      </c>
      <c r="C258">
        <v>3</v>
      </c>
      <c r="E258">
        <v>57826.9</v>
      </c>
    </row>
    <row r="259" spans="2:5">
      <c r="B259">
        <v>5809</v>
      </c>
      <c r="C259">
        <v>4</v>
      </c>
      <c r="E259">
        <v>58098.19</v>
      </c>
    </row>
    <row r="260" spans="2:5">
      <c r="B260">
        <v>5868</v>
      </c>
      <c r="C260">
        <v>3</v>
      </c>
      <c r="E260">
        <v>58688.2</v>
      </c>
    </row>
    <row r="261" spans="2:5">
      <c r="B261">
        <v>5876</v>
      </c>
      <c r="C261">
        <v>4</v>
      </c>
      <c r="E261">
        <v>58768.76</v>
      </c>
    </row>
    <row r="262" spans="2:5">
      <c r="B262">
        <v>5890</v>
      </c>
      <c r="C262">
        <v>3</v>
      </c>
      <c r="E262">
        <v>58905.2</v>
      </c>
    </row>
    <row r="263" spans="2:5">
      <c r="B263">
        <v>5895</v>
      </c>
      <c r="C263">
        <v>3</v>
      </c>
      <c r="E263">
        <v>58957.24</v>
      </c>
    </row>
    <row r="264" spans="2:5">
      <c r="B264">
        <v>5907</v>
      </c>
      <c r="C264">
        <v>3</v>
      </c>
      <c r="E264">
        <v>59074.97</v>
      </c>
    </row>
    <row r="265" spans="2:5">
      <c r="B265">
        <v>5910</v>
      </c>
      <c r="C265">
        <v>2</v>
      </c>
      <c r="E265">
        <v>59105.95</v>
      </c>
    </row>
    <row r="266" spans="2:5">
      <c r="B266">
        <v>5914</v>
      </c>
      <c r="C266">
        <v>2</v>
      </c>
      <c r="E266">
        <v>59142.16</v>
      </c>
    </row>
    <row r="267" spans="2:5">
      <c r="B267">
        <v>5917</v>
      </c>
      <c r="C267">
        <v>2</v>
      </c>
      <c r="E267">
        <v>59170.43</v>
      </c>
    </row>
    <row r="268" spans="2:5">
      <c r="B268">
        <v>5922</v>
      </c>
      <c r="C268">
        <v>2</v>
      </c>
      <c r="E268">
        <v>59229.84</v>
      </c>
    </row>
    <row r="269" spans="2:5">
      <c r="B269">
        <v>5928</v>
      </c>
      <c r="C269">
        <v>3</v>
      </c>
      <c r="E269">
        <v>59282.85</v>
      </c>
    </row>
    <row r="270" spans="2:5">
      <c r="B270">
        <v>5955</v>
      </c>
      <c r="C270">
        <v>3</v>
      </c>
      <c r="E270">
        <v>59556.04</v>
      </c>
    </row>
    <row r="271" spans="2:5">
      <c r="B271">
        <v>5958</v>
      </c>
      <c r="C271">
        <v>3</v>
      </c>
      <c r="E271">
        <v>59582.97</v>
      </c>
    </row>
    <row r="272" spans="2:5">
      <c r="B272">
        <v>5960</v>
      </c>
      <c r="C272">
        <v>2</v>
      </c>
      <c r="E272">
        <v>59602.19</v>
      </c>
    </row>
    <row r="273" spans="1:9">
      <c r="B273">
        <v>5975</v>
      </c>
      <c r="C273">
        <v>3</v>
      </c>
      <c r="E273">
        <v>59750.04</v>
      </c>
    </row>
    <row r="274" spans="1:9">
      <c r="B274">
        <v>6064</v>
      </c>
      <c r="C274">
        <v>4</v>
      </c>
      <c r="E274">
        <v>60649.49</v>
      </c>
    </row>
    <row r="275" spans="1:9">
      <c r="A275" t="s">
        <v>4996</v>
      </c>
      <c r="B275" t="s">
        <v>202</v>
      </c>
      <c r="C275" t="s">
        <v>203</v>
      </c>
      <c r="E275">
        <v>68058.899999999994</v>
      </c>
      <c r="G275">
        <v>1.6</v>
      </c>
      <c r="I275" t="s">
        <v>4997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90D7-4FD9-4357-94DD-F73E329970BD}">
  <dimension ref="A1:I232"/>
  <sheetViews>
    <sheetView workbookViewId="0">
      <selection sqref="A1:I1048576"/>
    </sheetView>
  </sheetViews>
  <sheetFormatPr defaultRowHeight="15"/>
  <cols>
    <col min="1" max="1" width="16.85546875" bestFit="1" customWidth="1"/>
    <col min="2" max="2" width="6" bestFit="1" customWidth="1"/>
    <col min="3" max="3" width="4.855468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10.140625" bestFit="1" customWidth="1"/>
  </cols>
  <sheetData>
    <row r="1" spans="1:9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4998</v>
      </c>
      <c r="B2" t="s">
        <v>1034</v>
      </c>
      <c r="C2" s="2" t="s">
        <v>252</v>
      </c>
      <c r="E2">
        <v>0</v>
      </c>
      <c r="H2">
        <v>1.3</v>
      </c>
      <c r="I2" t="s">
        <v>12</v>
      </c>
    </row>
    <row r="3" spans="1:9">
      <c r="A3" t="s">
        <v>4998</v>
      </c>
      <c r="B3" t="s">
        <v>1034</v>
      </c>
      <c r="C3" s="2" t="s">
        <v>250</v>
      </c>
      <c r="E3">
        <v>4078.94</v>
      </c>
      <c r="H3">
        <v>1.1200000000000001</v>
      </c>
    </row>
    <row r="4" spans="1:9">
      <c r="A4" t="s">
        <v>4998</v>
      </c>
      <c r="B4" t="s">
        <v>1034</v>
      </c>
      <c r="C4" s="2" t="s">
        <v>249</v>
      </c>
      <c r="E4">
        <v>5784.62</v>
      </c>
      <c r="H4">
        <v>1.2</v>
      </c>
    </row>
    <row r="5" spans="1:9">
      <c r="A5" t="s">
        <v>4998</v>
      </c>
      <c r="B5" t="s">
        <v>1034</v>
      </c>
      <c r="C5" s="2" t="s">
        <v>251</v>
      </c>
      <c r="E5">
        <v>6323.91</v>
      </c>
      <c r="H5">
        <v>1.21</v>
      </c>
    </row>
    <row r="6" spans="1:9">
      <c r="A6" t="s">
        <v>4999</v>
      </c>
      <c r="B6" t="s">
        <v>1068</v>
      </c>
      <c r="C6" s="2" t="s">
        <v>252</v>
      </c>
      <c r="E6">
        <v>2834.98</v>
      </c>
      <c r="H6">
        <v>1.33</v>
      </c>
    </row>
    <row r="7" spans="1:9">
      <c r="A7" t="s">
        <v>4999</v>
      </c>
      <c r="B7" t="s">
        <v>1068</v>
      </c>
      <c r="C7" s="2" t="s">
        <v>251</v>
      </c>
      <c r="E7">
        <v>7106.61</v>
      </c>
      <c r="H7">
        <v>1.23</v>
      </c>
    </row>
    <row r="8" spans="1:9">
      <c r="A8" t="s">
        <v>4999</v>
      </c>
      <c r="B8" t="s">
        <v>1068</v>
      </c>
      <c r="C8" s="2" t="s">
        <v>249</v>
      </c>
      <c r="E8">
        <v>9877.5400000000009</v>
      </c>
      <c r="H8">
        <v>1.17</v>
      </c>
    </row>
    <row r="9" spans="1:9">
      <c r="A9" t="s">
        <v>4999</v>
      </c>
      <c r="B9" t="s">
        <v>1068</v>
      </c>
      <c r="C9" s="2" t="s">
        <v>250</v>
      </c>
      <c r="E9">
        <v>11831.09</v>
      </c>
      <c r="H9">
        <v>0.54</v>
      </c>
    </row>
    <row r="10" spans="1:9">
      <c r="A10" t="s">
        <v>5000</v>
      </c>
      <c r="B10" t="s">
        <v>1050</v>
      </c>
      <c r="C10" s="2" t="s">
        <v>250</v>
      </c>
      <c r="E10">
        <v>10578.68</v>
      </c>
      <c r="H10">
        <v>0.97</v>
      </c>
    </row>
    <row r="11" spans="1:9">
      <c r="A11" t="s">
        <v>5000</v>
      </c>
      <c r="B11" t="s">
        <v>1050</v>
      </c>
      <c r="C11" s="2" t="s">
        <v>248</v>
      </c>
      <c r="E11">
        <v>12505.68</v>
      </c>
      <c r="H11">
        <v>1.22</v>
      </c>
    </row>
    <row r="12" spans="1:9">
      <c r="A12" t="s">
        <v>4999</v>
      </c>
      <c r="B12" t="s">
        <v>1091</v>
      </c>
      <c r="C12" s="2" t="s">
        <v>249</v>
      </c>
      <c r="E12">
        <v>12218.47</v>
      </c>
      <c r="H12">
        <v>1.1299999999999999</v>
      </c>
    </row>
    <row r="13" spans="1:9">
      <c r="A13" t="s">
        <v>4999</v>
      </c>
      <c r="B13" t="s">
        <v>1091</v>
      </c>
      <c r="C13" s="2" t="s">
        <v>251</v>
      </c>
      <c r="E13">
        <v>13087.9</v>
      </c>
      <c r="H13">
        <v>1.17</v>
      </c>
    </row>
    <row r="14" spans="1:9">
      <c r="A14" t="s">
        <v>5000</v>
      </c>
      <c r="B14" t="s">
        <v>1043</v>
      </c>
      <c r="C14" s="2" t="s">
        <v>249</v>
      </c>
      <c r="E14">
        <v>12951.67</v>
      </c>
      <c r="H14">
        <v>1.49</v>
      </c>
    </row>
    <row r="15" spans="1:9">
      <c r="A15" t="s">
        <v>5000</v>
      </c>
      <c r="B15" t="s">
        <v>1043</v>
      </c>
      <c r="C15" s="2" t="s">
        <v>250</v>
      </c>
      <c r="E15">
        <v>16565.349999999999</v>
      </c>
      <c r="H15">
        <v>1.39</v>
      </c>
    </row>
    <row r="16" spans="1:9">
      <c r="A16" t="s">
        <v>5000</v>
      </c>
      <c r="B16" t="s">
        <v>1043</v>
      </c>
      <c r="C16" s="2" t="s">
        <v>248</v>
      </c>
      <c r="E16">
        <v>16681.2</v>
      </c>
      <c r="H16">
        <v>2.61</v>
      </c>
    </row>
    <row r="17" spans="1:8">
      <c r="A17" t="s">
        <v>4998</v>
      </c>
      <c r="B17" t="s">
        <v>1047</v>
      </c>
      <c r="C17" s="2" t="s">
        <v>252</v>
      </c>
      <c r="E17">
        <v>13939.8</v>
      </c>
      <c r="H17">
        <v>1.1000000000000001</v>
      </c>
    </row>
    <row r="18" spans="1:8">
      <c r="A18" t="s">
        <v>4998</v>
      </c>
      <c r="B18" t="s">
        <v>1047</v>
      </c>
      <c r="C18" s="2" t="s">
        <v>251</v>
      </c>
      <c r="E18">
        <v>17779.240000000002</v>
      </c>
      <c r="H18">
        <v>0.92</v>
      </c>
    </row>
    <row r="19" spans="1:8">
      <c r="A19" t="s">
        <v>4998</v>
      </c>
      <c r="B19" t="s">
        <v>1060</v>
      </c>
      <c r="C19" s="2" t="s">
        <v>249</v>
      </c>
      <c r="E19">
        <v>16103.32</v>
      </c>
      <c r="H19">
        <v>1.34</v>
      </c>
    </row>
    <row r="20" spans="1:8">
      <c r="A20" t="s">
        <v>4998</v>
      </c>
      <c r="B20" t="s">
        <v>1060</v>
      </c>
      <c r="C20" s="2" t="s">
        <v>250</v>
      </c>
      <c r="E20">
        <v>18547.04</v>
      </c>
      <c r="H20">
        <v>1.39</v>
      </c>
    </row>
    <row r="21" spans="1:8">
      <c r="A21" t="s">
        <v>4998</v>
      </c>
      <c r="B21" t="s">
        <v>1060</v>
      </c>
      <c r="C21" s="2" t="s">
        <v>248</v>
      </c>
      <c r="E21">
        <v>20236.7</v>
      </c>
      <c r="H21">
        <v>2.08</v>
      </c>
    </row>
    <row r="22" spans="1:8">
      <c r="A22" t="s">
        <v>5001</v>
      </c>
      <c r="B22" t="s">
        <v>2542</v>
      </c>
      <c r="C22" s="2" t="s">
        <v>249</v>
      </c>
      <c r="E22">
        <v>19060.62</v>
      </c>
      <c r="H22">
        <v>1</v>
      </c>
    </row>
    <row r="23" spans="1:8">
      <c r="A23" t="s">
        <v>5001</v>
      </c>
      <c r="B23" t="s">
        <v>2542</v>
      </c>
      <c r="C23" s="2" t="s">
        <v>250</v>
      </c>
      <c r="E23">
        <v>22110.240000000002</v>
      </c>
      <c r="H23">
        <v>1</v>
      </c>
    </row>
    <row r="24" spans="1:8">
      <c r="A24" t="s">
        <v>4998</v>
      </c>
      <c r="B24" t="s">
        <v>1064</v>
      </c>
      <c r="C24" s="2" t="s">
        <v>1702</v>
      </c>
      <c r="E24">
        <v>19593.25</v>
      </c>
      <c r="H24">
        <v>1.0900000000000001</v>
      </c>
    </row>
    <row r="25" spans="1:8">
      <c r="A25" t="s">
        <v>4998</v>
      </c>
      <c r="B25" t="s">
        <v>1064</v>
      </c>
      <c r="C25" s="2" t="s">
        <v>252</v>
      </c>
      <c r="E25">
        <v>23505.91</v>
      </c>
      <c r="H25">
        <v>1.04</v>
      </c>
    </row>
    <row r="26" spans="1:8">
      <c r="A26" t="s">
        <v>4998</v>
      </c>
      <c r="B26" t="s">
        <v>2544</v>
      </c>
      <c r="C26" s="2" t="s">
        <v>249</v>
      </c>
      <c r="E26">
        <v>23310.36</v>
      </c>
      <c r="H26">
        <v>1.2</v>
      </c>
    </row>
    <row r="27" spans="1:8">
      <c r="A27" t="s">
        <v>4998</v>
      </c>
      <c r="B27" t="s">
        <v>2544</v>
      </c>
      <c r="C27" s="2" t="s">
        <v>250</v>
      </c>
      <c r="E27">
        <v>26229.48</v>
      </c>
      <c r="H27">
        <v>0.94</v>
      </c>
    </row>
    <row r="28" spans="1:8">
      <c r="A28" t="s">
        <v>5002</v>
      </c>
      <c r="B28" t="s">
        <v>1075</v>
      </c>
      <c r="C28" s="2" t="s">
        <v>252</v>
      </c>
      <c r="E28">
        <v>26307.5</v>
      </c>
      <c r="H28">
        <v>1.48</v>
      </c>
    </row>
    <row r="29" spans="1:8">
      <c r="A29" t="s">
        <v>5002</v>
      </c>
      <c r="B29" t="s">
        <v>1075</v>
      </c>
      <c r="C29" s="2" t="s">
        <v>251</v>
      </c>
      <c r="E29">
        <v>30529.66</v>
      </c>
      <c r="H29">
        <v>1.44</v>
      </c>
    </row>
    <row r="30" spans="1:8">
      <c r="A30" t="s">
        <v>5002</v>
      </c>
      <c r="B30" t="s">
        <v>1075</v>
      </c>
      <c r="C30" s="2" t="s">
        <v>250</v>
      </c>
      <c r="E30">
        <v>32463.58</v>
      </c>
      <c r="H30">
        <v>1.58</v>
      </c>
    </row>
    <row r="31" spans="1:8">
      <c r="A31" t="s">
        <v>5002</v>
      </c>
      <c r="B31" t="s">
        <v>1075</v>
      </c>
      <c r="C31" s="2" t="s">
        <v>249</v>
      </c>
      <c r="E31">
        <v>33064.83</v>
      </c>
      <c r="H31">
        <v>1.5</v>
      </c>
    </row>
    <row r="32" spans="1:8">
      <c r="A32" t="s">
        <v>5002</v>
      </c>
      <c r="B32" t="s">
        <v>1075</v>
      </c>
      <c r="C32" s="2" t="s">
        <v>248</v>
      </c>
      <c r="E32">
        <v>35647.94</v>
      </c>
      <c r="H32">
        <v>1.3</v>
      </c>
    </row>
    <row r="33" spans="1:8">
      <c r="A33" t="s">
        <v>5003</v>
      </c>
      <c r="B33" t="s">
        <v>1112</v>
      </c>
      <c r="C33" s="2" t="s">
        <v>251</v>
      </c>
      <c r="E33">
        <v>26365.16</v>
      </c>
      <c r="H33">
        <v>0.92</v>
      </c>
    </row>
    <row r="34" spans="1:8">
      <c r="A34" t="s">
        <v>5003</v>
      </c>
      <c r="B34" t="s">
        <v>1112</v>
      </c>
      <c r="C34" s="2" t="s">
        <v>252</v>
      </c>
      <c r="E34">
        <v>27913.84</v>
      </c>
      <c r="H34">
        <v>1.03</v>
      </c>
    </row>
    <row r="35" spans="1:8">
      <c r="A35" t="s">
        <v>5004</v>
      </c>
      <c r="B35" t="s">
        <v>2554</v>
      </c>
      <c r="C35" s="2" t="s">
        <v>249</v>
      </c>
      <c r="E35">
        <v>26404.17</v>
      </c>
      <c r="H35">
        <v>1.1599999999999999</v>
      </c>
    </row>
    <row r="36" spans="1:8">
      <c r="A36" t="s">
        <v>5004</v>
      </c>
      <c r="B36" t="s">
        <v>2554</v>
      </c>
      <c r="C36" s="2" t="s">
        <v>250</v>
      </c>
      <c r="E36">
        <v>27970.05</v>
      </c>
      <c r="H36">
        <v>0.85</v>
      </c>
    </row>
    <row r="37" spans="1:8">
      <c r="A37" t="s">
        <v>5002</v>
      </c>
      <c r="B37" t="s">
        <v>1080</v>
      </c>
      <c r="C37" s="2" t="s">
        <v>1702</v>
      </c>
      <c r="E37">
        <v>28452.32</v>
      </c>
      <c r="H37">
        <v>1.4</v>
      </c>
    </row>
    <row r="38" spans="1:8">
      <c r="A38" t="s">
        <v>5002</v>
      </c>
      <c r="B38" t="s">
        <v>1080</v>
      </c>
      <c r="C38" s="2" t="s">
        <v>252</v>
      </c>
      <c r="E38">
        <v>32513.43</v>
      </c>
      <c r="H38">
        <v>1.36</v>
      </c>
    </row>
    <row r="39" spans="1:8">
      <c r="A39" t="s">
        <v>5002</v>
      </c>
      <c r="B39" t="s">
        <v>1080</v>
      </c>
      <c r="C39" s="2" t="s">
        <v>251</v>
      </c>
      <c r="E39">
        <v>33874.43</v>
      </c>
      <c r="H39">
        <v>1.38</v>
      </c>
    </row>
    <row r="40" spans="1:8">
      <c r="A40" t="s">
        <v>5002</v>
      </c>
      <c r="B40" t="s">
        <v>1080</v>
      </c>
      <c r="C40" s="2" t="s">
        <v>249</v>
      </c>
      <c r="E40">
        <v>34919.83</v>
      </c>
      <c r="H40">
        <v>1.34</v>
      </c>
    </row>
    <row r="41" spans="1:8">
      <c r="A41" t="s">
        <v>5002</v>
      </c>
      <c r="B41" t="s">
        <v>1080</v>
      </c>
      <c r="C41" s="2" t="s">
        <v>250</v>
      </c>
      <c r="E41">
        <v>36390.15</v>
      </c>
      <c r="H41">
        <v>1.1399999999999999</v>
      </c>
    </row>
    <row r="42" spans="1:8">
      <c r="A42" t="s">
        <v>5002</v>
      </c>
      <c r="B42" t="s">
        <v>1080</v>
      </c>
      <c r="C42" s="2" t="s">
        <v>248</v>
      </c>
      <c r="E42">
        <v>38120.94</v>
      </c>
      <c r="H42">
        <v>0.66</v>
      </c>
    </row>
    <row r="43" spans="1:8">
      <c r="A43" t="s">
        <v>5002</v>
      </c>
      <c r="B43" t="s">
        <v>1072</v>
      </c>
      <c r="C43" s="2" t="s">
        <v>720</v>
      </c>
      <c r="E43">
        <v>32830.78</v>
      </c>
      <c r="H43">
        <v>1.37</v>
      </c>
    </row>
    <row r="44" spans="1:8">
      <c r="A44" t="s">
        <v>5002</v>
      </c>
      <c r="B44" t="s">
        <v>1072</v>
      </c>
      <c r="C44" s="2" t="s">
        <v>1702</v>
      </c>
      <c r="E44">
        <v>34180.480000000003</v>
      </c>
      <c r="H44">
        <v>1.34</v>
      </c>
    </row>
    <row r="45" spans="1:8">
      <c r="A45" t="s">
        <v>5002</v>
      </c>
      <c r="B45" t="s">
        <v>1072</v>
      </c>
      <c r="C45" s="2" t="s">
        <v>252</v>
      </c>
      <c r="E45">
        <v>35080.800000000003</v>
      </c>
      <c r="H45">
        <v>1.27</v>
      </c>
    </row>
    <row r="46" spans="1:8">
      <c r="A46" t="s">
        <v>5002</v>
      </c>
      <c r="B46" t="s">
        <v>1072</v>
      </c>
      <c r="C46" s="2" t="s">
        <v>251</v>
      </c>
      <c r="E46">
        <v>35410.629999999997</v>
      </c>
      <c r="H46">
        <v>1.32</v>
      </c>
    </row>
    <row r="47" spans="1:8">
      <c r="A47" t="s">
        <v>5002</v>
      </c>
      <c r="B47" t="s">
        <v>1072</v>
      </c>
      <c r="C47" s="2" t="s">
        <v>249</v>
      </c>
      <c r="E47">
        <v>35540.339999999997</v>
      </c>
      <c r="H47">
        <v>1.59</v>
      </c>
    </row>
    <row r="48" spans="1:8">
      <c r="A48" t="s">
        <v>5002</v>
      </c>
      <c r="B48" t="s">
        <v>1072</v>
      </c>
      <c r="C48" s="2" t="s">
        <v>250</v>
      </c>
      <c r="E48">
        <v>37692.75</v>
      </c>
      <c r="H48">
        <v>0.79</v>
      </c>
    </row>
    <row r="49" spans="1:8">
      <c r="A49" t="s">
        <v>5002</v>
      </c>
      <c r="B49" t="s">
        <v>1098</v>
      </c>
      <c r="C49" s="2" t="s">
        <v>248</v>
      </c>
    </row>
    <row r="50" spans="1:8">
      <c r="A50" t="s">
        <v>5002</v>
      </c>
      <c r="B50" t="s">
        <v>1098</v>
      </c>
      <c r="C50" s="2" t="s">
        <v>250</v>
      </c>
    </row>
    <row r="51" spans="1:8">
      <c r="A51" t="s">
        <v>5002</v>
      </c>
      <c r="B51" t="s">
        <v>1098</v>
      </c>
      <c r="C51" s="2" t="s">
        <v>249</v>
      </c>
      <c r="E51">
        <v>37446.129999999997</v>
      </c>
      <c r="H51">
        <v>1.33</v>
      </c>
    </row>
    <row r="52" spans="1:8">
      <c r="A52" t="s">
        <v>5002</v>
      </c>
      <c r="B52" t="s">
        <v>1098</v>
      </c>
      <c r="C52" s="2" t="s">
        <v>251</v>
      </c>
      <c r="E52">
        <v>37515.31</v>
      </c>
      <c r="H52">
        <v>1.38</v>
      </c>
    </row>
    <row r="53" spans="1:8">
      <c r="A53" t="s">
        <v>5002</v>
      </c>
      <c r="B53" t="s">
        <v>1124</v>
      </c>
      <c r="C53" s="2" t="s">
        <v>249</v>
      </c>
    </row>
    <row r="54" spans="1:8">
      <c r="A54" t="s">
        <v>5002</v>
      </c>
      <c r="B54" t="s">
        <v>1124</v>
      </c>
      <c r="C54" s="2" t="s">
        <v>250</v>
      </c>
    </row>
    <row r="55" spans="1:8">
      <c r="A55" t="s">
        <v>5002</v>
      </c>
      <c r="B55" t="s">
        <v>1124</v>
      </c>
      <c r="C55" s="2" t="s">
        <v>252</v>
      </c>
      <c r="E55">
        <v>37871.69</v>
      </c>
      <c r="H55">
        <v>1.25</v>
      </c>
    </row>
    <row r="56" spans="1:8">
      <c r="A56" t="s">
        <v>5002</v>
      </c>
      <c r="B56" t="s">
        <v>1124</v>
      </c>
      <c r="C56" s="2" t="s">
        <v>251</v>
      </c>
      <c r="E56">
        <v>38158.239999999998</v>
      </c>
      <c r="H56">
        <v>1.27</v>
      </c>
    </row>
    <row r="57" spans="1:8">
      <c r="B57" t="s">
        <v>5005</v>
      </c>
      <c r="C57" s="2" t="s">
        <v>252</v>
      </c>
      <c r="E57">
        <v>38229.75</v>
      </c>
      <c r="H57">
        <v>1.22</v>
      </c>
    </row>
    <row r="58" spans="1:8">
      <c r="B58" t="s">
        <v>5006</v>
      </c>
      <c r="C58" s="2" t="s">
        <v>249</v>
      </c>
      <c r="E58">
        <v>38358.129999999997</v>
      </c>
      <c r="H58">
        <v>1.39</v>
      </c>
    </row>
    <row r="59" spans="1:8">
      <c r="B59" t="s">
        <v>4855</v>
      </c>
      <c r="C59" s="2" t="s">
        <v>250</v>
      </c>
      <c r="E59">
        <v>38484.74</v>
      </c>
      <c r="H59">
        <v>1.44</v>
      </c>
    </row>
    <row r="60" spans="1:8">
      <c r="B60" t="s">
        <v>5007</v>
      </c>
      <c r="C60" s="2" t="s">
        <v>251</v>
      </c>
      <c r="E60">
        <v>38568.050000000003</v>
      </c>
      <c r="H60">
        <v>1.35</v>
      </c>
    </row>
    <row r="61" spans="1:8">
      <c r="B61" t="s">
        <v>5008</v>
      </c>
      <c r="C61" s="2" t="s">
        <v>248</v>
      </c>
      <c r="E61">
        <v>39289.279999999999</v>
      </c>
      <c r="H61">
        <v>1.58</v>
      </c>
    </row>
    <row r="62" spans="1:8">
      <c r="B62" t="s">
        <v>5009</v>
      </c>
      <c r="C62" s="2" t="s">
        <v>249</v>
      </c>
      <c r="E62">
        <v>39324.57</v>
      </c>
      <c r="H62">
        <v>1.22</v>
      </c>
    </row>
    <row r="63" spans="1:8">
      <c r="B63" t="s">
        <v>5010</v>
      </c>
      <c r="C63" s="2" t="s">
        <v>249</v>
      </c>
      <c r="E63">
        <v>39805.97</v>
      </c>
      <c r="H63">
        <v>1.34</v>
      </c>
    </row>
    <row r="64" spans="1:8">
      <c r="B64" t="s">
        <v>5011</v>
      </c>
      <c r="C64" s="2" t="s">
        <v>1702</v>
      </c>
      <c r="E64">
        <v>39940.269999999997</v>
      </c>
      <c r="H64">
        <v>1.32</v>
      </c>
    </row>
    <row r="65" spans="2:8">
      <c r="B65" t="s">
        <v>4864</v>
      </c>
      <c r="C65" s="2" t="s">
        <v>251</v>
      </c>
      <c r="E65">
        <v>40291.19</v>
      </c>
      <c r="H65">
        <v>1.25</v>
      </c>
    </row>
    <row r="66" spans="2:8">
      <c r="B66" t="s">
        <v>5012</v>
      </c>
      <c r="C66" s="2" t="s">
        <v>252</v>
      </c>
      <c r="E66">
        <v>40389.83</v>
      </c>
      <c r="H66">
        <v>1.23</v>
      </c>
    </row>
    <row r="67" spans="2:8">
      <c r="B67" t="s">
        <v>5013</v>
      </c>
      <c r="C67" s="2" t="s">
        <v>250</v>
      </c>
      <c r="E67">
        <v>40524.730000000003</v>
      </c>
      <c r="H67">
        <v>1.22</v>
      </c>
    </row>
    <row r="68" spans="2:8">
      <c r="B68" t="s">
        <v>5014</v>
      </c>
      <c r="C68" s="2" t="s">
        <v>251</v>
      </c>
      <c r="E68">
        <v>40710.78</v>
      </c>
      <c r="H68">
        <v>1.33</v>
      </c>
    </row>
    <row r="69" spans="2:8">
      <c r="B69" t="s">
        <v>5015</v>
      </c>
      <c r="C69" s="2" t="s">
        <v>252</v>
      </c>
      <c r="E69">
        <v>41118.71</v>
      </c>
      <c r="H69">
        <v>1.37</v>
      </c>
    </row>
    <row r="70" spans="2:8">
      <c r="B70" t="s">
        <v>5016</v>
      </c>
      <c r="C70" s="2" t="s">
        <v>248</v>
      </c>
      <c r="E70">
        <v>41210.33</v>
      </c>
      <c r="H70">
        <v>2.39</v>
      </c>
    </row>
    <row r="71" spans="2:8">
      <c r="B71" t="s">
        <v>5017</v>
      </c>
      <c r="C71" s="2" t="s">
        <v>249</v>
      </c>
      <c r="E71">
        <v>41522.22</v>
      </c>
      <c r="H71">
        <v>1.32</v>
      </c>
    </row>
    <row r="72" spans="2:8">
      <c r="B72" t="s">
        <v>5018</v>
      </c>
      <c r="C72" s="2" t="s">
        <v>248</v>
      </c>
      <c r="E72">
        <v>42014.44</v>
      </c>
      <c r="H72">
        <v>0.76</v>
      </c>
    </row>
    <row r="73" spans="2:8">
      <c r="B73" t="s">
        <v>5019</v>
      </c>
      <c r="C73" s="2" t="s">
        <v>250</v>
      </c>
      <c r="E73">
        <v>42029.14</v>
      </c>
      <c r="H73">
        <v>1.1499999999999999</v>
      </c>
    </row>
    <row r="74" spans="2:8">
      <c r="B74" t="s">
        <v>5020</v>
      </c>
      <c r="C74" s="2" t="s">
        <v>1702</v>
      </c>
      <c r="E74">
        <v>42131.82</v>
      </c>
      <c r="H74">
        <v>1.29</v>
      </c>
    </row>
    <row r="75" spans="2:8">
      <c r="B75" t="s">
        <v>5021</v>
      </c>
      <c r="C75" s="2" t="s">
        <v>249</v>
      </c>
      <c r="E75">
        <v>42267.86</v>
      </c>
      <c r="H75">
        <v>1.24</v>
      </c>
    </row>
    <row r="76" spans="2:8">
      <c r="B76" t="s">
        <v>5022</v>
      </c>
      <c r="C76" s="2" t="s">
        <v>252</v>
      </c>
      <c r="E76">
        <v>42279.28</v>
      </c>
      <c r="H76">
        <v>1.38</v>
      </c>
    </row>
    <row r="77" spans="2:8">
      <c r="B77" t="s">
        <v>5023</v>
      </c>
      <c r="C77" s="2" t="s">
        <v>249</v>
      </c>
      <c r="E77">
        <v>43071.78</v>
      </c>
      <c r="H77">
        <v>1.1200000000000001</v>
      </c>
    </row>
    <row r="78" spans="2:8">
      <c r="B78" t="s">
        <v>5024</v>
      </c>
      <c r="C78" s="2" t="s">
        <v>251</v>
      </c>
      <c r="E78">
        <v>43176.15</v>
      </c>
      <c r="H78">
        <v>1.1200000000000001</v>
      </c>
    </row>
    <row r="79" spans="2:8">
      <c r="B79" t="s">
        <v>5025</v>
      </c>
      <c r="C79" s="2" t="s">
        <v>250</v>
      </c>
      <c r="E79">
        <v>43200.89</v>
      </c>
      <c r="H79">
        <v>0.98</v>
      </c>
    </row>
    <row r="80" spans="2:8">
      <c r="B80" t="s">
        <v>5026</v>
      </c>
      <c r="C80" s="2" t="s">
        <v>251</v>
      </c>
      <c r="E80">
        <v>43592.21</v>
      </c>
      <c r="H80">
        <v>1.45</v>
      </c>
    </row>
    <row r="81" spans="2:8">
      <c r="B81" t="s">
        <v>5027</v>
      </c>
      <c r="C81" s="2" t="s">
        <v>250</v>
      </c>
      <c r="E81">
        <v>44569.85</v>
      </c>
      <c r="H81">
        <v>1.49</v>
      </c>
    </row>
    <row r="82" spans="2:8">
      <c r="B82" t="s">
        <v>5028</v>
      </c>
      <c r="C82" s="2" t="s">
        <v>249</v>
      </c>
      <c r="E82">
        <v>44596.77</v>
      </c>
      <c r="H82">
        <v>1.26</v>
      </c>
    </row>
    <row r="83" spans="2:8">
      <c r="B83" t="s">
        <v>5029</v>
      </c>
      <c r="C83" s="2" t="s">
        <v>251</v>
      </c>
      <c r="E83">
        <v>44642.67</v>
      </c>
      <c r="H83">
        <v>1.34</v>
      </c>
    </row>
    <row r="84" spans="2:8">
      <c r="B84" t="s">
        <v>5030</v>
      </c>
      <c r="C84" s="2" t="s">
        <v>252</v>
      </c>
      <c r="E84">
        <v>44652.43</v>
      </c>
      <c r="H84">
        <v>1.25</v>
      </c>
    </row>
    <row r="85" spans="2:8">
      <c r="B85" t="s">
        <v>5031</v>
      </c>
      <c r="C85" s="2" t="s">
        <v>250</v>
      </c>
      <c r="E85">
        <v>44785.440000000002</v>
      </c>
      <c r="H85">
        <v>1.53</v>
      </c>
    </row>
    <row r="86" spans="2:8">
      <c r="B86" t="s">
        <v>5032</v>
      </c>
      <c r="C86" s="2" t="s">
        <v>251</v>
      </c>
      <c r="E86">
        <v>45111.68</v>
      </c>
      <c r="H86">
        <v>1.08</v>
      </c>
    </row>
    <row r="87" spans="2:8">
      <c r="B87" t="s">
        <v>5033</v>
      </c>
      <c r="C87" s="2" t="s">
        <v>249</v>
      </c>
      <c r="E87">
        <v>45185.95</v>
      </c>
      <c r="H87">
        <v>1.1100000000000001</v>
      </c>
    </row>
    <row r="88" spans="2:8">
      <c r="B88" t="s">
        <v>5034</v>
      </c>
      <c r="C88" s="2" t="s">
        <v>250</v>
      </c>
      <c r="E88">
        <v>45259.14</v>
      </c>
      <c r="H88">
        <v>1.27</v>
      </c>
    </row>
    <row r="89" spans="2:8">
      <c r="B89" t="s">
        <v>5035</v>
      </c>
      <c r="C89" s="2" t="s">
        <v>248</v>
      </c>
      <c r="E89">
        <v>45415.26</v>
      </c>
      <c r="H89">
        <v>1.93</v>
      </c>
    </row>
    <row r="90" spans="2:8">
      <c r="B90" t="s">
        <v>4897</v>
      </c>
      <c r="C90" s="2" t="s">
        <v>248</v>
      </c>
      <c r="E90">
        <v>45503.15</v>
      </c>
      <c r="H90">
        <v>0.32</v>
      </c>
    </row>
    <row r="91" spans="2:8">
      <c r="B91" t="s">
        <v>5036</v>
      </c>
      <c r="C91" s="2" t="s">
        <v>249</v>
      </c>
      <c r="E91">
        <v>45570.89</v>
      </c>
      <c r="H91">
        <v>1.03</v>
      </c>
    </row>
    <row r="92" spans="2:8">
      <c r="B92" t="s">
        <v>5037</v>
      </c>
      <c r="C92" s="2" t="s">
        <v>251</v>
      </c>
      <c r="E92">
        <v>45895.85</v>
      </c>
      <c r="H92">
        <v>1.1599999999999999</v>
      </c>
    </row>
    <row r="93" spans="2:8">
      <c r="B93" t="s">
        <v>5038</v>
      </c>
      <c r="C93" s="2" t="s">
        <v>1702</v>
      </c>
      <c r="E93">
        <v>45957.33</v>
      </c>
      <c r="H93">
        <v>1.1499999999999999</v>
      </c>
    </row>
    <row r="94" spans="2:8">
      <c r="B94" t="s">
        <v>5039</v>
      </c>
      <c r="C94" s="2" t="s">
        <v>249</v>
      </c>
      <c r="E94">
        <v>46093.84</v>
      </c>
      <c r="H94">
        <v>1.21</v>
      </c>
    </row>
    <row r="95" spans="2:8">
      <c r="B95" t="s">
        <v>4411</v>
      </c>
      <c r="C95" s="2" t="s">
        <v>252</v>
      </c>
      <c r="E95">
        <v>46220.32</v>
      </c>
      <c r="H95">
        <v>1.23</v>
      </c>
    </row>
    <row r="96" spans="2:8">
      <c r="B96" t="s">
        <v>5040</v>
      </c>
      <c r="C96" s="2" t="s">
        <v>252</v>
      </c>
      <c r="E96">
        <v>46371.64</v>
      </c>
      <c r="H96">
        <v>1.36</v>
      </c>
    </row>
    <row r="97" spans="2:8">
      <c r="B97" t="s">
        <v>5041</v>
      </c>
      <c r="C97" s="2" t="s">
        <v>250</v>
      </c>
      <c r="E97">
        <v>46471.839999999997</v>
      </c>
      <c r="H97">
        <v>1.21</v>
      </c>
    </row>
    <row r="98" spans="2:8">
      <c r="B98" t="s">
        <v>5042</v>
      </c>
      <c r="C98" s="2" t="s">
        <v>250</v>
      </c>
      <c r="E98">
        <v>46618.13</v>
      </c>
      <c r="H98">
        <v>1.05</v>
      </c>
    </row>
    <row r="99" spans="2:8">
      <c r="B99" t="s">
        <v>5043</v>
      </c>
      <c r="C99" s="2" t="s">
        <v>251</v>
      </c>
      <c r="E99">
        <v>46979.02</v>
      </c>
      <c r="H99">
        <v>1.18</v>
      </c>
    </row>
    <row r="100" spans="2:8">
      <c r="B100" t="s">
        <v>5044</v>
      </c>
      <c r="C100" s="2" t="s">
        <v>249</v>
      </c>
      <c r="E100">
        <v>47011.09</v>
      </c>
      <c r="H100">
        <v>1.1299999999999999</v>
      </c>
    </row>
    <row r="101" spans="2:8">
      <c r="B101" t="s">
        <v>5045</v>
      </c>
      <c r="C101" s="2" t="s">
        <v>251</v>
      </c>
      <c r="E101">
        <v>47165.120000000003</v>
      </c>
      <c r="H101">
        <v>1.23</v>
      </c>
    </row>
    <row r="102" spans="2:8">
      <c r="B102" t="s">
        <v>4913</v>
      </c>
      <c r="C102" s="2" t="s">
        <v>248</v>
      </c>
      <c r="E102">
        <v>47203.81</v>
      </c>
      <c r="H102">
        <v>2.31</v>
      </c>
    </row>
    <row r="103" spans="2:8">
      <c r="B103" t="s">
        <v>4913</v>
      </c>
      <c r="C103" s="2" t="s">
        <v>252</v>
      </c>
      <c r="E103">
        <v>47205.57</v>
      </c>
      <c r="H103">
        <v>1.08</v>
      </c>
    </row>
    <row r="104" spans="2:8">
      <c r="B104" t="s">
        <v>4915</v>
      </c>
      <c r="C104" s="2" t="s">
        <v>249</v>
      </c>
      <c r="E104">
        <v>47537.29</v>
      </c>
      <c r="H104">
        <v>1.21</v>
      </c>
    </row>
    <row r="105" spans="2:8">
      <c r="B105" t="s">
        <v>5046</v>
      </c>
      <c r="C105" s="2" t="s">
        <v>251</v>
      </c>
      <c r="E105">
        <v>47548.69</v>
      </c>
      <c r="H105">
        <v>1.25</v>
      </c>
    </row>
    <row r="106" spans="2:8">
      <c r="B106" t="s">
        <v>4917</v>
      </c>
      <c r="C106" s="2" t="s">
        <v>250</v>
      </c>
      <c r="E106">
        <v>47824.93</v>
      </c>
      <c r="H106">
        <v>1.46</v>
      </c>
    </row>
    <row r="107" spans="2:8">
      <c r="B107" t="s">
        <v>4919</v>
      </c>
      <c r="C107" s="2" t="s">
        <v>1702</v>
      </c>
      <c r="E107">
        <v>47858.47</v>
      </c>
      <c r="H107">
        <v>1.3</v>
      </c>
    </row>
    <row r="108" spans="2:8">
      <c r="B108" t="s">
        <v>5047</v>
      </c>
      <c r="C108" s="2" t="s">
        <v>249</v>
      </c>
      <c r="E108">
        <v>48206.57</v>
      </c>
      <c r="H108">
        <v>1.27</v>
      </c>
    </row>
    <row r="109" spans="2:8">
      <c r="B109" t="s">
        <v>5048</v>
      </c>
      <c r="C109" s="2" t="s">
        <v>252</v>
      </c>
      <c r="E109">
        <v>48299.24</v>
      </c>
      <c r="H109">
        <v>1.2</v>
      </c>
    </row>
    <row r="110" spans="2:8">
      <c r="B110" t="s">
        <v>5049</v>
      </c>
      <c r="C110" s="2" t="s">
        <v>250</v>
      </c>
      <c r="E110">
        <v>48440.83</v>
      </c>
      <c r="H110">
        <v>1.24</v>
      </c>
    </row>
    <row r="111" spans="2:8">
      <c r="B111" t="s">
        <v>5049</v>
      </c>
      <c r="C111" s="2" t="s">
        <v>251</v>
      </c>
      <c r="E111">
        <v>48448.65</v>
      </c>
      <c r="H111">
        <v>1.05</v>
      </c>
    </row>
    <row r="112" spans="2:8">
      <c r="B112" t="s">
        <v>5050</v>
      </c>
      <c r="C112" s="2" t="s">
        <v>251</v>
      </c>
      <c r="E112">
        <v>48629.22</v>
      </c>
      <c r="H112">
        <v>1.19</v>
      </c>
    </row>
    <row r="113" spans="2:8">
      <c r="B113" t="s">
        <v>5051</v>
      </c>
      <c r="C113" s="2" t="s">
        <v>250</v>
      </c>
      <c r="E113">
        <v>48801.91</v>
      </c>
      <c r="H113">
        <v>1.31</v>
      </c>
    </row>
    <row r="114" spans="2:8">
      <c r="B114" t="s">
        <v>5052</v>
      </c>
      <c r="C114" s="2" t="s">
        <v>249</v>
      </c>
      <c r="E114">
        <v>49146.44</v>
      </c>
      <c r="H114">
        <v>1.22</v>
      </c>
    </row>
    <row r="115" spans="2:8">
      <c r="B115" t="s">
        <v>5053</v>
      </c>
      <c r="C115" s="2" t="s">
        <v>252</v>
      </c>
      <c r="E115">
        <v>49158.61</v>
      </c>
      <c r="H115">
        <v>1.26</v>
      </c>
    </row>
    <row r="116" spans="2:8">
      <c r="B116" t="s">
        <v>5054</v>
      </c>
      <c r="C116" s="2" t="s">
        <v>250</v>
      </c>
      <c r="E116">
        <v>49342.51</v>
      </c>
      <c r="H116">
        <v>1.22</v>
      </c>
    </row>
    <row r="117" spans="2:8">
      <c r="B117" t="s">
        <v>5055</v>
      </c>
      <c r="C117" s="2" t="s">
        <v>248</v>
      </c>
      <c r="E117">
        <v>49446.25</v>
      </c>
      <c r="H117">
        <v>0.67</v>
      </c>
    </row>
    <row r="118" spans="2:8">
      <c r="B118" t="s">
        <v>5056</v>
      </c>
      <c r="C118" s="2" t="s">
        <v>249</v>
      </c>
      <c r="E118">
        <v>49621.32</v>
      </c>
      <c r="H118">
        <v>1.36</v>
      </c>
    </row>
    <row r="119" spans="2:8">
      <c r="B119" t="s">
        <v>5057</v>
      </c>
      <c r="C119" s="2" t="s">
        <v>1702</v>
      </c>
      <c r="E119">
        <v>49719.17</v>
      </c>
      <c r="H119">
        <v>1.31</v>
      </c>
    </row>
    <row r="120" spans="2:8">
      <c r="B120" t="s">
        <v>5058</v>
      </c>
      <c r="C120" s="2" t="s">
        <v>249</v>
      </c>
      <c r="E120">
        <v>49779.37</v>
      </c>
      <c r="H120">
        <v>1.35</v>
      </c>
    </row>
    <row r="121" spans="2:8">
      <c r="B121" t="s">
        <v>5059</v>
      </c>
      <c r="C121" s="2" t="s">
        <v>251</v>
      </c>
      <c r="E121">
        <v>49823.54</v>
      </c>
      <c r="H121">
        <v>1.22</v>
      </c>
    </row>
    <row r="122" spans="2:8">
      <c r="B122" t="s">
        <v>5060</v>
      </c>
      <c r="C122" s="2" t="s">
        <v>252</v>
      </c>
      <c r="E122">
        <v>50050.69</v>
      </c>
      <c r="H122">
        <v>1.1499999999999999</v>
      </c>
    </row>
    <row r="123" spans="2:8">
      <c r="B123" t="s">
        <v>5061</v>
      </c>
      <c r="C123" s="2" t="s">
        <v>250</v>
      </c>
      <c r="E123">
        <v>50100.71</v>
      </c>
      <c r="H123">
        <v>1.36</v>
      </c>
    </row>
    <row r="124" spans="2:8">
      <c r="B124" t="s">
        <v>5062</v>
      </c>
      <c r="C124" s="2" t="s">
        <v>249</v>
      </c>
      <c r="E124">
        <v>50169.88</v>
      </c>
      <c r="H124">
        <v>1</v>
      </c>
    </row>
    <row r="125" spans="2:8">
      <c r="B125" t="s">
        <v>5063</v>
      </c>
      <c r="C125" s="2" t="s">
        <v>252</v>
      </c>
      <c r="E125">
        <v>50434.46</v>
      </c>
      <c r="H125">
        <v>1.0900000000000001</v>
      </c>
    </row>
    <row r="126" spans="2:8">
      <c r="B126" t="s">
        <v>5064</v>
      </c>
      <c r="C126" s="2" t="s">
        <v>248</v>
      </c>
      <c r="E126">
        <v>50445.02</v>
      </c>
      <c r="H126">
        <v>1.1599999999999999</v>
      </c>
    </row>
    <row r="127" spans="2:8">
      <c r="B127" t="s">
        <v>5065</v>
      </c>
      <c r="C127" s="2" t="s">
        <v>250</v>
      </c>
      <c r="E127">
        <v>50564.12</v>
      </c>
      <c r="H127">
        <v>1.19</v>
      </c>
    </row>
    <row r="128" spans="2:8">
      <c r="B128" t="s">
        <v>4450</v>
      </c>
      <c r="C128" s="2" t="s">
        <v>251</v>
      </c>
      <c r="E128">
        <v>50580.39</v>
      </c>
      <c r="H128">
        <v>0.95</v>
      </c>
    </row>
    <row r="129" spans="1:8">
      <c r="B129" t="s">
        <v>5066</v>
      </c>
      <c r="C129" s="2" t="s">
        <v>1702</v>
      </c>
      <c r="E129">
        <v>50606.38</v>
      </c>
      <c r="H129">
        <v>1.04</v>
      </c>
    </row>
    <row r="130" spans="1:8">
      <c r="B130" t="s">
        <v>5067</v>
      </c>
      <c r="C130" s="2" t="s">
        <v>251</v>
      </c>
      <c r="E130">
        <v>51107.94</v>
      </c>
      <c r="H130">
        <v>1.1499999999999999</v>
      </c>
    </row>
    <row r="131" spans="1:8">
      <c r="B131" t="s">
        <v>4959</v>
      </c>
      <c r="C131" s="2" t="s">
        <v>250</v>
      </c>
      <c r="E131">
        <v>51166.54</v>
      </c>
      <c r="H131">
        <v>1.21</v>
      </c>
    </row>
    <row r="132" spans="1:8">
      <c r="A132" t="s">
        <v>5068</v>
      </c>
      <c r="B132" t="s">
        <v>1328</v>
      </c>
      <c r="C132" s="2" t="s">
        <v>249</v>
      </c>
    </row>
    <row r="133" spans="1:8">
      <c r="A133" t="s">
        <v>5068</v>
      </c>
      <c r="B133" t="s">
        <v>1328</v>
      </c>
      <c r="C133" s="2" t="s">
        <v>248</v>
      </c>
    </row>
    <row r="134" spans="1:8">
      <c r="A134" t="s">
        <v>5068</v>
      </c>
      <c r="B134" t="s">
        <v>1328</v>
      </c>
      <c r="C134" s="2" t="s">
        <v>251</v>
      </c>
    </row>
    <row r="135" spans="1:8">
      <c r="A135" t="s">
        <v>5068</v>
      </c>
      <c r="B135" t="s">
        <v>1328</v>
      </c>
      <c r="C135" s="2" t="s">
        <v>250</v>
      </c>
    </row>
    <row r="136" spans="1:8">
      <c r="A136" t="s">
        <v>5068</v>
      </c>
      <c r="B136" t="s">
        <v>1328</v>
      </c>
      <c r="C136" s="2" t="s">
        <v>1702</v>
      </c>
      <c r="E136">
        <v>51175.94</v>
      </c>
      <c r="H136">
        <v>1.42</v>
      </c>
    </row>
    <row r="137" spans="1:8">
      <c r="A137" t="s">
        <v>5068</v>
      </c>
      <c r="B137" t="s">
        <v>1328</v>
      </c>
      <c r="C137" s="2" t="s">
        <v>252</v>
      </c>
      <c r="E137">
        <v>52508.89</v>
      </c>
      <c r="H137">
        <v>1.38</v>
      </c>
    </row>
    <row r="138" spans="1:8">
      <c r="B138" t="s">
        <v>5069</v>
      </c>
      <c r="C138" s="2" t="s">
        <v>249</v>
      </c>
      <c r="E138">
        <v>51427.15</v>
      </c>
      <c r="H138">
        <v>1.1200000000000001</v>
      </c>
    </row>
    <row r="139" spans="1:8">
      <c r="B139" t="s">
        <v>5070</v>
      </c>
      <c r="C139" s="2" t="s">
        <v>252</v>
      </c>
      <c r="E139">
        <v>51470.74</v>
      </c>
      <c r="H139">
        <v>1.22</v>
      </c>
    </row>
    <row r="140" spans="1:8">
      <c r="B140" t="s">
        <v>5071</v>
      </c>
      <c r="C140" s="2" t="s">
        <v>249</v>
      </c>
      <c r="E140">
        <v>51814.75</v>
      </c>
      <c r="H140">
        <v>1.33</v>
      </c>
    </row>
    <row r="141" spans="1:8">
      <c r="B141" t="s">
        <v>5072</v>
      </c>
      <c r="C141" s="2" t="s">
        <v>251</v>
      </c>
      <c r="E141">
        <v>51852.38</v>
      </c>
      <c r="H141">
        <v>1.24</v>
      </c>
    </row>
    <row r="142" spans="1:8">
      <c r="B142" t="s">
        <v>5073</v>
      </c>
      <c r="C142" s="2" t="s">
        <v>248</v>
      </c>
      <c r="E142">
        <v>51983.92</v>
      </c>
      <c r="H142">
        <v>1.42</v>
      </c>
    </row>
    <row r="143" spans="1:8">
      <c r="B143" t="s">
        <v>5074</v>
      </c>
      <c r="C143" s="2" t="s">
        <v>249</v>
      </c>
      <c r="E143">
        <v>52051.75</v>
      </c>
      <c r="H143">
        <v>1.25</v>
      </c>
    </row>
    <row r="144" spans="1:8">
      <c r="B144" t="s">
        <v>4968</v>
      </c>
      <c r="C144" s="2" t="s">
        <v>251</v>
      </c>
      <c r="E144">
        <v>52134.11</v>
      </c>
      <c r="H144">
        <v>1.32</v>
      </c>
    </row>
    <row r="145" spans="2:8">
      <c r="B145" t="s">
        <v>5075</v>
      </c>
      <c r="C145" s="2" t="s">
        <v>251</v>
      </c>
      <c r="E145">
        <v>52224.37</v>
      </c>
      <c r="H145">
        <v>1.3</v>
      </c>
    </row>
    <row r="146" spans="2:8">
      <c r="B146" t="s">
        <v>5076</v>
      </c>
      <c r="C146" s="2" t="s">
        <v>1702</v>
      </c>
      <c r="E146">
        <v>52266.28</v>
      </c>
      <c r="H146">
        <v>0.98</v>
      </c>
    </row>
    <row r="147" spans="2:8">
      <c r="B147" t="s">
        <v>5077</v>
      </c>
      <c r="C147" s="2" t="s">
        <v>250</v>
      </c>
      <c r="E147">
        <v>52303.65</v>
      </c>
      <c r="H147">
        <v>-0.1</v>
      </c>
    </row>
    <row r="148" spans="2:8">
      <c r="B148" t="s">
        <v>5078</v>
      </c>
      <c r="C148" s="2" t="s">
        <v>249</v>
      </c>
      <c r="E148">
        <v>52327.33</v>
      </c>
      <c r="H148">
        <v>1.17</v>
      </c>
    </row>
    <row r="149" spans="2:8">
      <c r="B149" t="s">
        <v>5079</v>
      </c>
      <c r="C149" s="2" t="s">
        <v>248</v>
      </c>
      <c r="E149">
        <v>52388.38</v>
      </c>
      <c r="H149">
        <v>1.91</v>
      </c>
    </row>
    <row r="150" spans="2:8">
      <c r="B150" t="s">
        <v>4974</v>
      </c>
      <c r="C150" s="2" t="s">
        <v>249</v>
      </c>
      <c r="E150">
        <v>52605.16</v>
      </c>
      <c r="H150">
        <v>1.1599999999999999</v>
      </c>
    </row>
    <row r="151" spans="2:8">
      <c r="B151" t="s">
        <v>4977</v>
      </c>
      <c r="C151" s="2" t="s">
        <v>250</v>
      </c>
      <c r="E151">
        <v>52806.57</v>
      </c>
      <c r="H151">
        <v>1.36</v>
      </c>
    </row>
    <row r="152" spans="2:8">
      <c r="B152" t="s">
        <v>5080</v>
      </c>
      <c r="C152" s="2" t="s">
        <v>249</v>
      </c>
      <c r="E152">
        <v>53552.93</v>
      </c>
      <c r="H152">
        <v>1.2</v>
      </c>
    </row>
    <row r="153" spans="2:8">
      <c r="B153" t="s">
        <v>4985</v>
      </c>
      <c r="C153" s="2" t="s">
        <v>252</v>
      </c>
      <c r="E153">
        <v>53642.06</v>
      </c>
      <c r="H153">
        <v>1.1299999999999999</v>
      </c>
    </row>
    <row r="154" spans="2:8">
      <c r="B154" t="s">
        <v>5081</v>
      </c>
      <c r="C154" s="2" t="s">
        <v>251</v>
      </c>
      <c r="E154">
        <v>53686.99</v>
      </c>
      <c r="H154">
        <v>1.1200000000000001</v>
      </c>
    </row>
    <row r="155" spans="2:8">
      <c r="B155" t="s">
        <v>5082</v>
      </c>
      <c r="C155" s="2" t="s">
        <v>251</v>
      </c>
      <c r="E155">
        <v>53771.9</v>
      </c>
      <c r="H155">
        <v>1.25</v>
      </c>
    </row>
    <row r="156" spans="2:8">
      <c r="B156" t="s">
        <v>4988</v>
      </c>
      <c r="C156" s="2" t="s">
        <v>1702</v>
      </c>
      <c r="E156">
        <v>54061.29</v>
      </c>
      <c r="H156">
        <v>1.1399999999999999</v>
      </c>
    </row>
    <row r="157" spans="2:8">
      <c r="B157" t="s">
        <v>5083</v>
      </c>
      <c r="C157" s="2" t="s">
        <v>249</v>
      </c>
      <c r="E157">
        <v>54119.23</v>
      </c>
      <c r="H157">
        <v>0.97</v>
      </c>
    </row>
    <row r="158" spans="2:8">
      <c r="B158" t="s">
        <v>5084</v>
      </c>
      <c r="C158" s="2" t="s">
        <v>251</v>
      </c>
      <c r="E158">
        <v>54140.83</v>
      </c>
      <c r="H158">
        <v>1.1000000000000001</v>
      </c>
    </row>
    <row r="159" spans="2:8">
      <c r="B159" t="s">
        <v>5085</v>
      </c>
      <c r="C159" s="2" t="s">
        <v>252</v>
      </c>
      <c r="E159">
        <v>54263.79</v>
      </c>
      <c r="H159">
        <v>1.1599999999999999</v>
      </c>
    </row>
    <row r="160" spans="2:8">
      <c r="B160" t="s">
        <v>5086</v>
      </c>
      <c r="C160" s="2" t="s">
        <v>250</v>
      </c>
      <c r="E160">
        <v>54319.92</v>
      </c>
      <c r="H160">
        <v>1.23</v>
      </c>
    </row>
    <row r="161" spans="2:8">
      <c r="B161" t="s">
        <v>5087</v>
      </c>
      <c r="C161" s="2" t="s">
        <v>251</v>
      </c>
      <c r="E161">
        <v>54566.06</v>
      </c>
      <c r="H161">
        <v>0.95</v>
      </c>
    </row>
    <row r="162" spans="2:8">
      <c r="B162" t="s">
        <v>5088</v>
      </c>
      <c r="C162" s="2" t="s">
        <v>249</v>
      </c>
      <c r="E162">
        <v>54639.31</v>
      </c>
      <c r="H162">
        <v>0.98</v>
      </c>
    </row>
    <row r="163" spans="2:8">
      <c r="B163" t="s">
        <v>5089</v>
      </c>
      <c r="C163" s="2" t="s">
        <v>252</v>
      </c>
      <c r="E163">
        <v>54667.54</v>
      </c>
      <c r="H163">
        <v>1.04</v>
      </c>
    </row>
    <row r="164" spans="2:8">
      <c r="B164" t="s">
        <v>5090</v>
      </c>
      <c r="C164" s="2" t="s">
        <v>251</v>
      </c>
      <c r="E164">
        <v>54711.1</v>
      </c>
      <c r="H164">
        <v>1.05</v>
      </c>
    </row>
    <row r="165" spans="2:8">
      <c r="B165">
        <v>5489</v>
      </c>
      <c r="C165" s="2" t="s">
        <v>252</v>
      </c>
      <c r="E165">
        <v>54892.63</v>
      </c>
      <c r="H165">
        <v>1.36</v>
      </c>
    </row>
    <row r="166" spans="2:8">
      <c r="B166" t="s">
        <v>5091</v>
      </c>
      <c r="C166" s="2" t="s">
        <v>251</v>
      </c>
      <c r="E166">
        <v>54894.82</v>
      </c>
      <c r="H166">
        <v>1.06</v>
      </c>
    </row>
    <row r="167" spans="2:8">
      <c r="B167" t="s">
        <v>5092</v>
      </c>
      <c r="C167" s="2" t="s">
        <v>250</v>
      </c>
      <c r="E167">
        <v>54985.38</v>
      </c>
      <c r="H167">
        <v>1.31</v>
      </c>
    </row>
    <row r="168" spans="2:8">
      <c r="B168" t="s">
        <v>5093</v>
      </c>
      <c r="C168" s="2" t="s">
        <v>252</v>
      </c>
      <c r="E168">
        <v>55035.94</v>
      </c>
      <c r="H168">
        <v>1.1000000000000001</v>
      </c>
    </row>
    <row r="169" spans="2:8">
      <c r="B169" t="s">
        <v>5094</v>
      </c>
      <c r="C169" s="2" t="s">
        <v>1702</v>
      </c>
      <c r="E169">
        <v>55114.11</v>
      </c>
      <c r="H169">
        <v>1.1200000000000001</v>
      </c>
    </row>
    <row r="170" spans="2:8">
      <c r="B170" t="s">
        <v>5095</v>
      </c>
      <c r="C170" s="2" t="s">
        <v>250</v>
      </c>
      <c r="E170">
        <v>55160.88</v>
      </c>
      <c r="H170">
        <v>1.17</v>
      </c>
    </row>
    <row r="171" spans="2:8">
      <c r="B171">
        <v>5530</v>
      </c>
      <c r="C171" s="2" t="s">
        <v>249</v>
      </c>
      <c r="E171">
        <v>55303.8</v>
      </c>
      <c r="H171">
        <v>1.5</v>
      </c>
    </row>
    <row r="172" spans="2:8">
      <c r="B172">
        <v>5538</v>
      </c>
      <c r="C172" s="2" t="s">
        <v>251</v>
      </c>
      <c r="E172">
        <v>55382</v>
      </c>
    </row>
    <row r="173" spans="2:8">
      <c r="B173" t="s">
        <v>5096</v>
      </c>
      <c r="C173" s="2" t="s">
        <v>250</v>
      </c>
      <c r="E173">
        <v>55497.33</v>
      </c>
      <c r="H173">
        <v>1.1599999999999999</v>
      </c>
    </row>
    <row r="174" spans="2:8">
      <c r="B174" t="s">
        <v>5097</v>
      </c>
      <c r="C174" s="2" t="s">
        <v>251</v>
      </c>
      <c r="E174">
        <v>55619.39</v>
      </c>
      <c r="H174">
        <v>1.1599999999999999</v>
      </c>
    </row>
    <row r="175" spans="2:8">
      <c r="B175" t="s">
        <v>5098</v>
      </c>
      <c r="C175" s="2" t="s">
        <v>248</v>
      </c>
      <c r="E175">
        <v>55635.360000000001</v>
      </c>
      <c r="H175">
        <v>1.1599999999999999</v>
      </c>
    </row>
    <row r="176" spans="2:8">
      <c r="B176">
        <v>5588</v>
      </c>
      <c r="C176" s="2" t="s">
        <v>250</v>
      </c>
      <c r="E176">
        <v>55885.440000000002</v>
      </c>
    </row>
    <row r="177" spans="2:8">
      <c r="B177" t="s">
        <v>5099</v>
      </c>
      <c r="C177" s="2" t="s">
        <v>249</v>
      </c>
      <c r="E177">
        <v>55913.57</v>
      </c>
      <c r="H177">
        <v>1.17</v>
      </c>
    </row>
    <row r="178" spans="2:8">
      <c r="B178" t="s">
        <v>5100</v>
      </c>
      <c r="C178" s="2" t="s">
        <v>252</v>
      </c>
      <c r="E178">
        <v>55979.05</v>
      </c>
      <c r="H178">
        <v>1.1599999999999999</v>
      </c>
    </row>
    <row r="179" spans="2:8">
      <c r="B179" t="s">
        <v>5101</v>
      </c>
      <c r="C179" s="2" t="s">
        <v>250</v>
      </c>
      <c r="E179">
        <v>56016.6</v>
      </c>
      <c r="H179">
        <v>1.05</v>
      </c>
    </row>
    <row r="180" spans="2:8">
      <c r="B180" t="s">
        <v>5102</v>
      </c>
      <c r="C180" s="2" t="s">
        <v>248</v>
      </c>
      <c r="E180">
        <v>56128.84</v>
      </c>
      <c r="H180">
        <v>0.65</v>
      </c>
    </row>
    <row r="181" spans="2:8">
      <c r="B181" t="s">
        <v>5103</v>
      </c>
      <c r="C181" s="2" t="s">
        <v>249</v>
      </c>
      <c r="E181">
        <v>56264.76</v>
      </c>
      <c r="H181">
        <v>1.22</v>
      </c>
    </row>
    <row r="182" spans="2:8">
      <c r="B182" t="s">
        <v>5104</v>
      </c>
      <c r="C182" s="2" t="s">
        <v>251</v>
      </c>
      <c r="E182">
        <v>56371.08</v>
      </c>
      <c r="H182">
        <v>0.96</v>
      </c>
    </row>
    <row r="183" spans="2:8">
      <c r="B183">
        <v>5641</v>
      </c>
      <c r="C183" s="2" t="s">
        <v>252</v>
      </c>
      <c r="E183">
        <v>56416.08</v>
      </c>
      <c r="H183">
        <v>1.38</v>
      </c>
    </row>
    <row r="184" spans="2:8">
      <c r="B184" t="s">
        <v>5105</v>
      </c>
      <c r="C184" s="2" t="s">
        <v>250</v>
      </c>
      <c r="E184">
        <v>56538.45</v>
      </c>
      <c r="H184">
        <v>1.23</v>
      </c>
    </row>
    <row r="185" spans="2:8">
      <c r="B185" t="s">
        <v>5106</v>
      </c>
      <c r="C185" s="2" t="s">
        <v>250</v>
      </c>
      <c r="E185">
        <v>56788.22</v>
      </c>
      <c r="H185">
        <v>1.21</v>
      </c>
    </row>
    <row r="186" spans="2:8">
      <c r="B186">
        <v>5679</v>
      </c>
      <c r="C186" s="2" t="s">
        <v>251</v>
      </c>
      <c r="E186">
        <v>56792.6</v>
      </c>
      <c r="H186">
        <v>1.27</v>
      </c>
    </row>
    <row r="187" spans="2:8">
      <c r="B187" t="s">
        <v>5107</v>
      </c>
      <c r="C187" s="2" t="s">
        <v>251</v>
      </c>
      <c r="E187">
        <v>57042.8</v>
      </c>
      <c r="H187">
        <v>1.1499999999999999</v>
      </c>
    </row>
    <row r="188" spans="2:8">
      <c r="B188" t="s">
        <v>5108</v>
      </c>
      <c r="C188" s="2" t="s">
        <v>251</v>
      </c>
      <c r="E188">
        <v>57186.64</v>
      </c>
      <c r="H188">
        <v>0.99</v>
      </c>
    </row>
    <row r="189" spans="2:8">
      <c r="B189" t="s">
        <v>5109</v>
      </c>
      <c r="C189" s="2" t="s">
        <v>250</v>
      </c>
      <c r="E189">
        <v>57247.57</v>
      </c>
      <c r="H189">
        <v>1.39</v>
      </c>
    </row>
    <row r="190" spans="2:8">
      <c r="B190" t="s">
        <v>5110</v>
      </c>
      <c r="C190" s="2" t="s">
        <v>251</v>
      </c>
      <c r="E190">
        <v>57697.46</v>
      </c>
      <c r="H190">
        <v>0.98</v>
      </c>
    </row>
    <row r="191" spans="2:8">
      <c r="B191" t="s">
        <v>5111</v>
      </c>
      <c r="C191" s="2" t="s">
        <v>250</v>
      </c>
      <c r="E191">
        <v>57737.04</v>
      </c>
      <c r="H191">
        <v>1.4</v>
      </c>
    </row>
    <row r="192" spans="2:8">
      <c r="B192" t="s">
        <v>5112</v>
      </c>
      <c r="C192" s="2" t="s">
        <v>252</v>
      </c>
      <c r="E192">
        <v>57774.99</v>
      </c>
      <c r="H192">
        <v>1.1399999999999999</v>
      </c>
    </row>
    <row r="193" spans="2:8">
      <c r="B193" t="s">
        <v>5113</v>
      </c>
      <c r="C193" s="2" t="s">
        <v>249</v>
      </c>
      <c r="E193">
        <v>58042.02</v>
      </c>
      <c r="H193">
        <v>1</v>
      </c>
    </row>
    <row r="194" spans="2:8">
      <c r="B194" t="s">
        <v>5114</v>
      </c>
      <c r="C194" s="2" t="s">
        <v>249</v>
      </c>
      <c r="E194">
        <v>58117.84</v>
      </c>
      <c r="H194">
        <v>1.36</v>
      </c>
    </row>
    <row r="195" spans="2:8">
      <c r="B195" t="s">
        <v>5115</v>
      </c>
      <c r="C195" s="2" t="s">
        <v>251</v>
      </c>
      <c r="E195">
        <v>58470.79</v>
      </c>
    </row>
    <row r="196" spans="2:8">
      <c r="B196" t="s">
        <v>5116</v>
      </c>
      <c r="C196" s="2" t="s">
        <v>252</v>
      </c>
      <c r="E196">
        <v>58570.57</v>
      </c>
      <c r="H196">
        <v>0.92</v>
      </c>
    </row>
    <row r="197" spans="2:8">
      <c r="B197" t="s">
        <v>5117</v>
      </c>
      <c r="C197" s="2" t="s">
        <v>251</v>
      </c>
      <c r="E197">
        <v>58625.1</v>
      </c>
      <c r="H197">
        <v>1.03</v>
      </c>
    </row>
    <row r="198" spans="2:8">
      <c r="B198" t="s">
        <v>5118</v>
      </c>
      <c r="C198" s="2" t="s">
        <v>250</v>
      </c>
      <c r="E198">
        <v>59155.42</v>
      </c>
      <c r="H198">
        <v>0.88</v>
      </c>
    </row>
    <row r="199" spans="2:8">
      <c r="B199" t="s">
        <v>5119</v>
      </c>
      <c r="C199" s="2" t="s">
        <v>249</v>
      </c>
      <c r="E199">
        <v>59354.02</v>
      </c>
      <c r="H199">
        <v>1.01</v>
      </c>
    </row>
    <row r="200" spans="2:8">
      <c r="B200">
        <v>5952</v>
      </c>
      <c r="C200" s="2" t="s">
        <v>1702</v>
      </c>
      <c r="E200">
        <v>59525.87</v>
      </c>
      <c r="H200">
        <v>1.28</v>
      </c>
    </row>
    <row r="201" spans="2:8">
      <c r="B201" t="s">
        <v>5120</v>
      </c>
      <c r="C201" s="2" t="s">
        <v>250</v>
      </c>
      <c r="E201">
        <v>59564.11</v>
      </c>
      <c r="H201">
        <v>1.19</v>
      </c>
    </row>
    <row r="202" spans="2:8">
      <c r="B202" t="s">
        <v>5121</v>
      </c>
      <c r="C202" s="2" t="s">
        <v>248</v>
      </c>
      <c r="E202">
        <v>59618.93</v>
      </c>
      <c r="H202">
        <v>2.0099999999999998</v>
      </c>
    </row>
    <row r="203" spans="2:8">
      <c r="B203">
        <v>5964</v>
      </c>
      <c r="C203" s="2" t="s">
        <v>251</v>
      </c>
      <c r="E203">
        <v>59647.72</v>
      </c>
      <c r="H203">
        <v>1.32</v>
      </c>
    </row>
    <row r="204" spans="2:8">
      <c r="B204" t="s">
        <v>5122</v>
      </c>
      <c r="C204" s="2" t="s">
        <v>252</v>
      </c>
      <c r="E204">
        <v>59725.87</v>
      </c>
    </row>
    <row r="205" spans="2:8">
      <c r="B205">
        <v>5982</v>
      </c>
      <c r="C205" s="2" t="s">
        <v>249</v>
      </c>
      <c r="E205">
        <v>59824.53</v>
      </c>
    </row>
    <row r="206" spans="2:8">
      <c r="B206">
        <v>5987</v>
      </c>
      <c r="C206" s="2" t="s">
        <v>251</v>
      </c>
      <c r="E206">
        <v>59878.02</v>
      </c>
      <c r="H206">
        <v>1.3</v>
      </c>
    </row>
    <row r="207" spans="2:8">
      <c r="B207">
        <v>6001</v>
      </c>
      <c r="C207" s="2" t="s">
        <v>252</v>
      </c>
      <c r="E207">
        <v>60012.25</v>
      </c>
      <c r="H207">
        <v>1.38</v>
      </c>
    </row>
    <row r="208" spans="2:8">
      <c r="B208">
        <v>6006</v>
      </c>
      <c r="C208" s="2" t="s">
        <v>249</v>
      </c>
      <c r="E208">
        <v>60062.45</v>
      </c>
      <c r="H208">
        <v>1.35</v>
      </c>
    </row>
    <row r="209" spans="2:8">
      <c r="B209" t="s">
        <v>5123</v>
      </c>
      <c r="C209" s="2" t="s">
        <v>251</v>
      </c>
      <c r="E209">
        <v>60263.040000000001</v>
      </c>
    </row>
    <row r="210" spans="2:8">
      <c r="B210" t="s">
        <v>5124</v>
      </c>
      <c r="C210" s="2" t="s">
        <v>249</v>
      </c>
      <c r="E210">
        <v>60411.48</v>
      </c>
    </row>
    <row r="211" spans="2:8">
      <c r="B211" t="s">
        <v>5125</v>
      </c>
      <c r="C211" s="2" t="s">
        <v>251</v>
      </c>
      <c r="E211">
        <v>60643.360000000001</v>
      </c>
    </row>
    <row r="212" spans="2:8">
      <c r="B212" t="s">
        <v>5126</v>
      </c>
      <c r="C212" s="2" t="s">
        <v>250</v>
      </c>
      <c r="E212">
        <v>60662.13</v>
      </c>
      <c r="H212">
        <v>0.94</v>
      </c>
    </row>
    <row r="213" spans="2:8">
      <c r="B213">
        <v>6066</v>
      </c>
      <c r="C213" s="2" t="s">
        <v>250</v>
      </c>
      <c r="E213">
        <v>60663.13</v>
      </c>
      <c r="H213">
        <v>1.1299999999999999</v>
      </c>
    </row>
    <row r="214" spans="2:8">
      <c r="B214" t="s">
        <v>5127</v>
      </c>
      <c r="C214" s="2" t="s">
        <v>249</v>
      </c>
      <c r="E214">
        <v>60721.97</v>
      </c>
      <c r="H214">
        <v>1</v>
      </c>
    </row>
    <row r="215" spans="2:8">
      <c r="B215" t="s">
        <v>5128</v>
      </c>
      <c r="C215" s="2" t="s">
        <v>250</v>
      </c>
      <c r="E215">
        <v>60794.400000000001</v>
      </c>
      <c r="H215">
        <v>0.94</v>
      </c>
    </row>
    <row r="216" spans="2:8">
      <c r="B216" t="s">
        <v>5129</v>
      </c>
      <c r="C216" s="2" t="s">
        <v>251</v>
      </c>
      <c r="E216">
        <v>61074.71</v>
      </c>
      <c r="H216">
        <v>1.1299999999999999</v>
      </c>
    </row>
    <row r="217" spans="2:8">
      <c r="B217">
        <v>6143</v>
      </c>
      <c r="C217" s="2" t="s">
        <v>250</v>
      </c>
      <c r="E217">
        <v>61431.49</v>
      </c>
    </row>
    <row r="218" spans="2:8">
      <c r="B218">
        <v>6148</v>
      </c>
      <c r="C218" s="2" t="s">
        <v>250</v>
      </c>
      <c r="E218">
        <v>61481.37</v>
      </c>
      <c r="H218">
        <v>0.45</v>
      </c>
    </row>
    <row r="219" spans="2:8">
      <c r="B219">
        <v>6201</v>
      </c>
      <c r="C219" s="2" t="s">
        <v>251</v>
      </c>
      <c r="E219">
        <v>62018.84</v>
      </c>
      <c r="H219">
        <v>1.35</v>
      </c>
    </row>
    <row r="220" spans="2:8">
      <c r="B220" t="s">
        <v>5130</v>
      </c>
      <c r="C220" s="2" t="s">
        <v>252</v>
      </c>
      <c r="E220">
        <v>62079.82</v>
      </c>
    </row>
    <row r="221" spans="2:8">
      <c r="B221">
        <v>6216</v>
      </c>
      <c r="C221" s="2" t="s">
        <v>251</v>
      </c>
      <c r="E221">
        <v>62164.91</v>
      </c>
      <c r="H221">
        <v>1.35</v>
      </c>
    </row>
    <row r="222" spans="2:8">
      <c r="B222">
        <v>6220</v>
      </c>
      <c r="C222" s="2" t="s">
        <v>1702</v>
      </c>
      <c r="E222">
        <v>62208.67</v>
      </c>
      <c r="H222">
        <v>1.2</v>
      </c>
    </row>
    <row r="223" spans="2:8">
      <c r="B223">
        <v>6222</v>
      </c>
      <c r="C223" s="2" t="s">
        <v>252</v>
      </c>
      <c r="E223">
        <v>62220.91</v>
      </c>
      <c r="H223">
        <v>1.39</v>
      </c>
    </row>
    <row r="224" spans="2:8">
      <c r="B224">
        <v>6237</v>
      </c>
      <c r="C224" s="2" t="s">
        <v>251</v>
      </c>
      <c r="E224">
        <v>62377.72</v>
      </c>
      <c r="H224">
        <v>1.23</v>
      </c>
    </row>
    <row r="225" spans="1:9">
      <c r="B225">
        <v>6242</v>
      </c>
      <c r="C225" s="2" t="s">
        <v>248</v>
      </c>
      <c r="E225">
        <v>62425.8</v>
      </c>
    </row>
    <row r="226" spans="1:9">
      <c r="B226">
        <v>6275</v>
      </c>
      <c r="C226" s="2" t="s">
        <v>251</v>
      </c>
      <c r="E226">
        <v>62757.18</v>
      </c>
      <c r="H226">
        <v>1.1100000000000001</v>
      </c>
    </row>
    <row r="227" spans="1:9">
      <c r="B227">
        <v>6283</v>
      </c>
      <c r="C227" s="2" t="s">
        <v>252</v>
      </c>
      <c r="E227">
        <v>62835.4</v>
      </c>
      <c r="H227">
        <v>1.28</v>
      </c>
    </row>
    <row r="228" spans="1:9">
      <c r="B228">
        <v>6339</v>
      </c>
      <c r="C228" s="2" t="s">
        <v>250</v>
      </c>
      <c r="E228">
        <v>63391.27</v>
      </c>
    </row>
    <row r="229" spans="1:9">
      <c r="B229">
        <v>6346</v>
      </c>
      <c r="C229" s="2" t="s">
        <v>252</v>
      </c>
      <c r="E229">
        <v>63469.72</v>
      </c>
      <c r="H229">
        <v>1.27</v>
      </c>
    </row>
    <row r="230" spans="1:9">
      <c r="B230">
        <v>6397</v>
      </c>
      <c r="C230" s="2" t="s">
        <v>251</v>
      </c>
      <c r="E230">
        <v>63976.18</v>
      </c>
      <c r="H230">
        <v>1.41</v>
      </c>
    </row>
    <row r="231" spans="1:9">
      <c r="B231">
        <v>6461</v>
      </c>
      <c r="C231" s="2" t="s">
        <v>251</v>
      </c>
      <c r="E231">
        <v>64618.16</v>
      </c>
    </row>
    <row r="232" spans="1:9">
      <c r="A232" t="s">
        <v>5131</v>
      </c>
      <c r="B232" t="s">
        <v>202</v>
      </c>
      <c r="C232" s="2" t="s">
        <v>203</v>
      </c>
      <c r="E232">
        <v>72323.899999999994</v>
      </c>
      <c r="G232">
        <v>1.8</v>
      </c>
      <c r="I232" t="s">
        <v>4997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EDFE-C839-4E0C-AB76-CA646CD8AA4C}">
  <dimension ref="A1:J203"/>
  <sheetViews>
    <sheetView workbookViewId="0">
      <selection sqref="A1:J203"/>
    </sheetView>
  </sheetViews>
  <sheetFormatPr defaultRowHeight="15"/>
  <cols>
    <col min="1" max="1" width="19" bestFit="1" customWidth="1"/>
    <col min="5" max="5" width="11.85546875" bestFit="1" customWidth="1"/>
    <col min="7" max="7" width="17.7109375" bestFit="1" customWidth="1"/>
    <col min="9" max="9" width="19.42578125" bestFit="1" customWidth="1"/>
    <col min="10" max="10" width="10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471</v>
      </c>
      <c r="B2" t="s">
        <v>257</v>
      </c>
      <c r="C2">
        <v>3</v>
      </c>
      <c r="E2">
        <v>0</v>
      </c>
      <c r="G2">
        <v>0</v>
      </c>
      <c r="H2">
        <v>1.3339240000000001</v>
      </c>
      <c r="I2">
        <v>100</v>
      </c>
      <c r="J2" t="s">
        <v>472</v>
      </c>
    </row>
    <row r="3" spans="1:10">
      <c r="A3" t="s">
        <v>471</v>
      </c>
      <c r="B3" t="s">
        <v>257</v>
      </c>
      <c r="C3">
        <v>2</v>
      </c>
      <c r="E3">
        <v>6567.4516999999996</v>
      </c>
      <c r="G3">
        <v>1.4E-3</v>
      </c>
      <c r="H3">
        <v>1.1169100000000001</v>
      </c>
      <c r="I3">
        <v>42</v>
      </c>
      <c r="J3" t="s">
        <v>472</v>
      </c>
    </row>
    <row r="4" spans="1:10">
      <c r="A4" t="s">
        <v>471</v>
      </c>
      <c r="B4" t="s">
        <v>257</v>
      </c>
      <c r="C4">
        <v>1</v>
      </c>
      <c r="E4">
        <v>10131.868399999999</v>
      </c>
      <c r="G4">
        <v>1.9E-3</v>
      </c>
      <c r="I4">
        <v>100</v>
      </c>
      <c r="J4" t="s">
        <v>472</v>
      </c>
    </row>
    <row r="5" spans="1:10">
      <c r="A5" t="s">
        <v>471</v>
      </c>
      <c r="B5" t="s">
        <v>30</v>
      </c>
      <c r="C5">
        <v>2</v>
      </c>
      <c r="E5">
        <v>775.87609999999995</v>
      </c>
      <c r="G5">
        <v>8.9999999999999998E-4</v>
      </c>
      <c r="H5">
        <v>1.0665739999999999</v>
      </c>
      <c r="I5">
        <v>42</v>
      </c>
      <c r="J5" t="s">
        <v>472</v>
      </c>
    </row>
    <row r="6" spans="1:10">
      <c r="A6" t="s">
        <v>473</v>
      </c>
      <c r="B6" t="s">
        <v>254</v>
      </c>
      <c r="C6">
        <v>4</v>
      </c>
      <c r="E6">
        <v>823.66079999999999</v>
      </c>
      <c r="G6">
        <v>8.0000000000000004E-4</v>
      </c>
      <c r="H6">
        <v>1.2394799999999999</v>
      </c>
      <c r="I6">
        <v>96</v>
      </c>
      <c r="J6" t="s">
        <v>472</v>
      </c>
    </row>
    <row r="7" spans="1:10">
      <c r="A7" t="s">
        <v>473</v>
      </c>
      <c r="B7" t="s">
        <v>254</v>
      </c>
      <c r="C7">
        <v>3</v>
      </c>
      <c r="E7">
        <v>10116.7158</v>
      </c>
      <c r="G7">
        <v>1.4E-3</v>
      </c>
      <c r="I7">
        <v>100</v>
      </c>
      <c r="J7" t="s">
        <v>472</v>
      </c>
    </row>
    <row r="8" spans="1:10">
      <c r="A8" t="s">
        <v>473</v>
      </c>
      <c r="B8" t="s">
        <v>254</v>
      </c>
      <c r="C8">
        <v>2</v>
      </c>
      <c r="E8">
        <v>15501.8344</v>
      </c>
      <c r="G8">
        <v>1.9E-3</v>
      </c>
      <c r="H8">
        <v>0.92</v>
      </c>
      <c r="I8">
        <v>60</v>
      </c>
      <c r="J8" t="s">
        <v>472</v>
      </c>
    </row>
    <row r="9" spans="1:10">
      <c r="A9" t="s">
        <v>474</v>
      </c>
      <c r="B9" t="s">
        <v>264</v>
      </c>
      <c r="C9">
        <v>0</v>
      </c>
      <c r="E9">
        <v>6140.17</v>
      </c>
      <c r="G9">
        <v>6.0000000000000001E-3</v>
      </c>
      <c r="I9">
        <v>90</v>
      </c>
      <c r="J9" t="s">
        <v>472</v>
      </c>
    </row>
    <row r="10" spans="1:10">
      <c r="A10" t="s">
        <v>471</v>
      </c>
      <c r="B10" t="s">
        <v>39</v>
      </c>
      <c r="C10">
        <v>2</v>
      </c>
      <c r="E10">
        <v>13496.2595</v>
      </c>
      <c r="G10">
        <v>2.3E-3</v>
      </c>
      <c r="H10">
        <v>1.17</v>
      </c>
      <c r="I10">
        <v>44</v>
      </c>
      <c r="J10" t="s">
        <v>472</v>
      </c>
    </row>
    <row r="11" spans="1:10">
      <c r="A11" t="s">
        <v>473</v>
      </c>
      <c r="B11" t="s">
        <v>266</v>
      </c>
      <c r="C11">
        <v>0</v>
      </c>
      <c r="E11">
        <v>16983.435000000001</v>
      </c>
      <c r="G11">
        <v>1.7000000000000001E-2</v>
      </c>
      <c r="I11">
        <v>83</v>
      </c>
      <c r="J11" t="s">
        <v>472</v>
      </c>
    </row>
    <row r="12" spans="1:10">
      <c r="A12" t="s">
        <v>473</v>
      </c>
      <c r="B12" t="s">
        <v>266</v>
      </c>
      <c r="C12">
        <v>1</v>
      </c>
      <c r="E12">
        <v>18566.544999999998</v>
      </c>
      <c r="G12">
        <v>2.8E-3</v>
      </c>
      <c r="I12">
        <v>100</v>
      </c>
      <c r="J12" t="s">
        <v>472</v>
      </c>
    </row>
    <row r="13" spans="1:10">
      <c r="A13" t="s">
        <v>473</v>
      </c>
      <c r="B13" t="s">
        <v>269</v>
      </c>
      <c r="C13">
        <v>4</v>
      </c>
      <c r="E13">
        <v>21967.100999999999</v>
      </c>
      <c r="G13">
        <v>3.0000000000000001E-3</v>
      </c>
      <c r="I13">
        <v>96</v>
      </c>
      <c r="J13" t="s">
        <v>472</v>
      </c>
    </row>
    <row r="14" spans="1:10">
      <c r="A14" t="s">
        <v>473</v>
      </c>
      <c r="B14" t="s">
        <v>259</v>
      </c>
      <c r="C14">
        <v>2</v>
      </c>
      <c r="E14">
        <v>26638.576000000001</v>
      </c>
      <c r="G14">
        <v>4.0000000000000001E-3</v>
      </c>
      <c r="H14">
        <v>0.97</v>
      </c>
      <c r="I14">
        <v>54</v>
      </c>
      <c r="J14" t="s">
        <v>472</v>
      </c>
    </row>
    <row r="15" spans="1:10">
      <c r="A15" t="s">
        <v>475</v>
      </c>
      <c r="B15" t="s">
        <v>271</v>
      </c>
      <c r="C15">
        <v>4</v>
      </c>
      <c r="E15">
        <v>30156.846000000001</v>
      </c>
      <c r="G15">
        <v>4.0000000000000001E-3</v>
      </c>
      <c r="H15">
        <v>1.46</v>
      </c>
      <c r="I15">
        <v>74</v>
      </c>
      <c r="J15" t="s">
        <v>472</v>
      </c>
    </row>
    <row r="16" spans="1:10">
      <c r="A16" t="s">
        <v>475</v>
      </c>
      <c r="B16" t="s">
        <v>271</v>
      </c>
      <c r="C16">
        <v>2</v>
      </c>
      <c r="E16">
        <v>40516.228999999999</v>
      </c>
      <c r="G16">
        <v>3.0000000000000001E-3</v>
      </c>
      <c r="H16">
        <v>1.38</v>
      </c>
      <c r="I16">
        <v>18</v>
      </c>
      <c r="J16" t="s">
        <v>472</v>
      </c>
    </row>
    <row r="17" spans="1:10">
      <c r="A17" t="s">
        <v>475</v>
      </c>
      <c r="B17" t="s">
        <v>271</v>
      </c>
      <c r="C17">
        <v>1</v>
      </c>
      <c r="E17">
        <v>43187.828999999998</v>
      </c>
      <c r="G17">
        <v>6.0000000000000001E-3</v>
      </c>
      <c r="H17">
        <v>1.39</v>
      </c>
      <c r="I17">
        <v>25</v>
      </c>
      <c r="J17" t="s">
        <v>472</v>
      </c>
    </row>
    <row r="18" spans="1:10">
      <c r="A18" t="s">
        <v>476</v>
      </c>
      <c r="B18" t="s">
        <v>477</v>
      </c>
      <c r="C18">
        <v>2</v>
      </c>
      <c r="E18">
        <v>32620.004700000001</v>
      </c>
      <c r="G18">
        <v>1.6000000000000001E-3</v>
      </c>
      <c r="H18">
        <v>1.39</v>
      </c>
      <c r="I18">
        <v>55</v>
      </c>
      <c r="J18" t="s">
        <v>472</v>
      </c>
    </row>
    <row r="19" spans="1:10">
      <c r="A19" t="s">
        <v>475</v>
      </c>
      <c r="B19" t="s">
        <v>478</v>
      </c>
      <c r="C19">
        <v>5</v>
      </c>
      <c r="E19">
        <v>33680.39</v>
      </c>
      <c r="G19">
        <v>5.0000000000000001E-3</v>
      </c>
      <c r="H19">
        <v>1.32</v>
      </c>
      <c r="I19">
        <v>43</v>
      </c>
      <c r="J19" t="s">
        <v>472</v>
      </c>
    </row>
    <row r="20" spans="1:10">
      <c r="A20" t="s">
        <v>476</v>
      </c>
      <c r="B20" t="s">
        <v>283</v>
      </c>
      <c r="C20">
        <v>3</v>
      </c>
      <c r="E20">
        <v>34122.145199999999</v>
      </c>
      <c r="G20">
        <v>3.3E-3</v>
      </c>
      <c r="H20">
        <v>1.21</v>
      </c>
      <c r="I20">
        <v>30</v>
      </c>
      <c r="J20" t="s">
        <v>472</v>
      </c>
    </row>
    <row r="21" spans="1:10">
      <c r="A21" t="s">
        <v>476</v>
      </c>
      <c r="B21" t="s">
        <v>283</v>
      </c>
      <c r="C21">
        <v>4</v>
      </c>
      <c r="E21">
        <v>37590.564700000003</v>
      </c>
      <c r="G21">
        <v>1.5E-3</v>
      </c>
      <c r="H21">
        <v>1.25</v>
      </c>
      <c r="I21">
        <v>68</v>
      </c>
      <c r="J21" t="s">
        <v>472</v>
      </c>
    </row>
    <row r="22" spans="1:10">
      <c r="A22" t="s">
        <v>476</v>
      </c>
      <c r="B22" t="s">
        <v>283</v>
      </c>
      <c r="C22">
        <v>2</v>
      </c>
      <c r="E22">
        <v>46170.375699999997</v>
      </c>
      <c r="G22">
        <v>1E-3</v>
      </c>
      <c r="H22">
        <v>1.01</v>
      </c>
      <c r="I22">
        <v>36</v>
      </c>
      <c r="J22" t="s">
        <v>472</v>
      </c>
    </row>
    <row r="23" spans="1:10">
      <c r="A23" t="s">
        <v>475</v>
      </c>
      <c r="B23" t="s">
        <v>479</v>
      </c>
      <c r="C23">
        <v>3</v>
      </c>
      <c r="E23">
        <v>35321.637000000002</v>
      </c>
      <c r="G23">
        <v>1.2999999999999999E-3</v>
      </c>
      <c r="H23">
        <v>1.33</v>
      </c>
      <c r="I23">
        <v>42</v>
      </c>
      <c r="J23" t="s">
        <v>472</v>
      </c>
    </row>
    <row r="24" spans="1:10">
      <c r="A24" t="s">
        <v>475</v>
      </c>
      <c r="B24" t="s">
        <v>480</v>
      </c>
      <c r="C24">
        <v>4</v>
      </c>
      <c r="E24">
        <v>36296.294000000002</v>
      </c>
      <c r="G24">
        <v>4.0000000000000001E-3</v>
      </c>
      <c r="I24">
        <v>35</v>
      </c>
      <c r="J24" t="s">
        <v>472</v>
      </c>
    </row>
    <row r="25" spans="1:10">
      <c r="A25" t="s">
        <v>475</v>
      </c>
      <c r="B25" t="s">
        <v>272</v>
      </c>
      <c r="C25">
        <v>6</v>
      </c>
      <c r="E25">
        <v>36781.544999999998</v>
      </c>
      <c r="G25">
        <v>7.0000000000000001E-3</v>
      </c>
      <c r="H25">
        <v>1.33</v>
      </c>
      <c r="I25">
        <v>96</v>
      </c>
      <c r="J25" t="s">
        <v>472</v>
      </c>
    </row>
    <row r="26" spans="1:10">
      <c r="A26" t="s">
        <v>475</v>
      </c>
      <c r="B26" t="s">
        <v>272</v>
      </c>
      <c r="C26">
        <v>3</v>
      </c>
      <c r="E26">
        <v>40970.156799999997</v>
      </c>
      <c r="G26">
        <v>2.0999999999999999E-3</v>
      </c>
      <c r="H26">
        <v>1.1200000000000001</v>
      </c>
      <c r="I26">
        <v>37</v>
      </c>
      <c r="J26" t="s">
        <v>472</v>
      </c>
    </row>
    <row r="27" spans="1:10">
      <c r="A27" t="s">
        <v>475</v>
      </c>
      <c r="B27" t="s">
        <v>272</v>
      </c>
      <c r="C27">
        <v>2</v>
      </c>
      <c r="E27">
        <v>48535.587</v>
      </c>
      <c r="G27">
        <v>7.0000000000000001E-3</v>
      </c>
      <c r="H27">
        <v>1.02</v>
      </c>
      <c r="I27">
        <v>15</v>
      </c>
      <c r="J27" t="s">
        <v>472</v>
      </c>
    </row>
    <row r="28" spans="1:10">
      <c r="A28" t="s">
        <v>476</v>
      </c>
      <c r="B28" t="s">
        <v>282</v>
      </c>
      <c r="C28">
        <v>1</v>
      </c>
      <c r="E28">
        <v>36844.695</v>
      </c>
      <c r="G28">
        <v>3.0000000000000001E-3</v>
      </c>
      <c r="H28">
        <v>1.0900000000000001</v>
      </c>
      <c r="I28">
        <v>26</v>
      </c>
      <c r="J28" t="s">
        <v>472</v>
      </c>
    </row>
    <row r="29" spans="1:10">
      <c r="A29" t="s">
        <v>476</v>
      </c>
      <c r="B29" t="s">
        <v>282</v>
      </c>
      <c r="C29">
        <v>0</v>
      </c>
      <c r="E29">
        <v>50387.658000000003</v>
      </c>
      <c r="G29">
        <v>2.4E-2</v>
      </c>
      <c r="I29">
        <v>38</v>
      </c>
      <c r="J29" t="s">
        <v>472</v>
      </c>
    </row>
    <row r="30" spans="1:10">
      <c r="A30" t="s">
        <v>476</v>
      </c>
      <c r="B30" t="s">
        <v>481</v>
      </c>
      <c r="C30">
        <v>2</v>
      </c>
      <c r="E30">
        <v>37342.089</v>
      </c>
      <c r="G30">
        <v>3.0000000000000001E-3</v>
      </c>
      <c r="H30">
        <v>1.1499999999999999</v>
      </c>
      <c r="I30">
        <v>20</v>
      </c>
      <c r="J30" t="s">
        <v>472</v>
      </c>
    </row>
    <row r="31" spans="1:10">
      <c r="A31" t="s">
        <v>476</v>
      </c>
      <c r="B31" t="s">
        <v>287</v>
      </c>
      <c r="C31">
        <v>3</v>
      </c>
      <c r="E31">
        <v>37769.067300000002</v>
      </c>
      <c r="G31">
        <v>3.0999999999999999E-3</v>
      </c>
      <c r="H31">
        <v>1.17</v>
      </c>
      <c r="I31">
        <v>24</v>
      </c>
      <c r="J31" t="s">
        <v>472</v>
      </c>
    </row>
    <row r="32" spans="1:10">
      <c r="A32" t="s">
        <v>476</v>
      </c>
      <c r="B32" t="s">
        <v>287</v>
      </c>
      <c r="C32">
        <v>2</v>
      </c>
      <c r="E32">
        <v>49880.866699999999</v>
      </c>
      <c r="G32">
        <v>1.8E-3</v>
      </c>
      <c r="H32">
        <v>1.1200000000000001</v>
      </c>
      <c r="I32">
        <v>18</v>
      </c>
      <c r="J32" t="s">
        <v>472</v>
      </c>
    </row>
    <row r="33" spans="1:10">
      <c r="A33" t="s">
        <v>475</v>
      </c>
      <c r="B33" t="s">
        <v>482</v>
      </c>
      <c r="C33">
        <v>5</v>
      </c>
      <c r="E33">
        <v>38536.143900000003</v>
      </c>
      <c r="G33">
        <v>1.6999999999999999E-3</v>
      </c>
      <c r="H33">
        <v>1.3</v>
      </c>
      <c r="I33">
        <v>43</v>
      </c>
      <c r="J33" t="s">
        <v>472</v>
      </c>
    </row>
    <row r="34" spans="1:10">
      <c r="A34" t="s">
        <v>483</v>
      </c>
      <c r="B34" t="s">
        <v>484</v>
      </c>
      <c r="C34">
        <v>2</v>
      </c>
      <c r="E34">
        <v>38815.894</v>
      </c>
      <c r="G34">
        <v>1.5E-3</v>
      </c>
      <c r="H34">
        <v>0.88</v>
      </c>
      <c r="I34">
        <v>25</v>
      </c>
      <c r="J34" t="s">
        <v>472</v>
      </c>
    </row>
    <row r="35" spans="1:10">
      <c r="A35" t="s">
        <v>475</v>
      </c>
      <c r="B35" t="s">
        <v>276</v>
      </c>
      <c r="C35">
        <v>4</v>
      </c>
      <c r="E35">
        <v>40194.220300000001</v>
      </c>
      <c r="G35">
        <v>1.6999999999999999E-3</v>
      </c>
      <c r="H35">
        <v>1.21</v>
      </c>
      <c r="I35">
        <v>25</v>
      </c>
      <c r="J35" t="s">
        <v>472</v>
      </c>
    </row>
    <row r="36" spans="1:10">
      <c r="A36" t="s">
        <v>475</v>
      </c>
      <c r="B36" t="s">
        <v>276</v>
      </c>
      <c r="C36">
        <v>2</v>
      </c>
      <c r="E36">
        <v>44444.345999999998</v>
      </c>
      <c r="G36">
        <v>6.0000000000000001E-3</v>
      </c>
      <c r="H36">
        <v>1.21</v>
      </c>
      <c r="I36">
        <v>31</v>
      </c>
      <c r="J36" t="s">
        <v>472</v>
      </c>
    </row>
    <row r="37" spans="1:10">
      <c r="A37" t="s">
        <v>475</v>
      </c>
      <c r="B37" t="s">
        <v>276</v>
      </c>
      <c r="C37">
        <v>1</v>
      </c>
      <c r="E37">
        <v>50055.296000000002</v>
      </c>
      <c r="G37">
        <v>5.0000000000000001E-3</v>
      </c>
      <c r="H37">
        <v>0.87</v>
      </c>
      <c r="I37">
        <v>18</v>
      </c>
      <c r="J37" t="s">
        <v>472</v>
      </c>
    </row>
    <row r="38" spans="1:10">
      <c r="A38" t="s">
        <v>485</v>
      </c>
      <c r="B38" t="s">
        <v>312</v>
      </c>
      <c r="C38">
        <v>2</v>
      </c>
      <c r="E38">
        <v>40787.841699999997</v>
      </c>
      <c r="G38">
        <v>2.3999999999999998E-3</v>
      </c>
      <c r="H38">
        <v>1.2</v>
      </c>
      <c r="I38">
        <v>25</v>
      </c>
      <c r="J38" t="s">
        <v>472</v>
      </c>
    </row>
    <row r="39" spans="1:10">
      <c r="A39" t="s">
        <v>485</v>
      </c>
      <c r="B39" t="s">
        <v>312</v>
      </c>
      <c r="C39">
        <v>1</v>
      </c>
      <c r="E39">
        <v>45398.466</v>
      </c>
      <c r="G39">
        <v>6.0000000000000001E-3</v>
      </c>
      <c r="H39">
        <v>1.52</v>
      </c>
      <c r="I39">
        <v>28</v>
      </c>
      <c r="J39" t="s">
        <v>472</v>
      </c>
    </row>
    <row r="40" spans="1:10">
      <c r="A40" t="s">
        <v>483</v>
      </c>
      <c r="B40" t="s">
        <v>282</v>
      </c>
      <c r="C40">
        <v>0</v>
      </c>
      <c r="E40">
        <v>40873.51</v>
      </c>
      <c r="G40">
        <v>1.0999999999999999E-2</v>
      </c>
      <c r="I40">
        <v>33</v>
      </c>
      <c r="J40" t="s">
        <v>472</v>
      </c>
    </row>
    <row r="41" spans="1:10">
      <c r="A41" t="s">
        <v>483</v>
      </c>
      <c r="B41" t="s">
        <v>486</v>
      </c>
      <c r="C41">
        <v>1</v>
      </c>
      <c r="E41">
        <v>41802.733</v>
      </c>
      <c r="G41">
        <v>4.0000000000000001E-3</v>
      </c>
      <c r="H41">
        <v>0.92</v>
      </c>
      <c r="I41">
        <v>27</v>
      </c>
      <c r="J41" t="s">
        <v>472</v>
      </c>
    </row>
    <row r="42" spans="1:10">
      <c r="A42" t="s">
        <v>475</v>
      </c>
      <c r="B42" t="s">
        <v>487</v>
      </c>
      <c r="C42">
        <v>3</v>
      </c>
      <c r="E42">
        <v>42660.048000000003</v>
      </c>
      <c r="G42">
        <v>3.0000000000000001E-3</v>
      </c>
      <c r="H42">
        <v>1.19</v>
      </c>
      <c r="I42">
        <v>18</v>
      </c>
      <c r="J42" t="s">
        <v>472</v>
      </c>
    </row>
    <row r="43" spans="1:10">
      <c r="A43" t="s">
        <v>485</v>
      </c>
      <c r="B43" t="s">
        <v>488</v>
      </c>
      <c r="C43">
        <v>3</v>
      </c>
      <c r="E43">
        <v>43945.534</v>
      </c>
      <c r="G43">
        <v>4.0000000000000001E-3</v>
      </c>
      <c r="H43">
        <v>1.27</v>
      </c>
      <c r="I43">
        <v>37</v>
      </c>
      <c r="J43" t="s">
        <v>472</v>
      </c>
    </row>
    <row r="44" spans="1:10">
      <c r="A44" t="s">
        <v>475</v>
      </c>
      <c r="B44" t="s">
        <v>489</v>
      </c>
      <c r="C44">
        <v>4</v>
      </c>
      <c r="E44">
        <v>44432.650999999998</v>
      </c>
      <c r="G44">
        <v>3.0000000000000001E-3</v>
      </c>
      <c r="H44">
        <v>1.2</v>
      </c>
      <c r="I44">
        <v>19</v>
      </c>
      <c r="J44" t="s">
        <v>472</v>
      </c>
    </row>
    <row r="45" spans="1:10">
      <c r="A45" t="s">
        <v>490</v>
      </c>
      <c r="B45" t="s">
        <v>486</v>
      </c>
      <c r="C45">
        <v>3</v>
      </c>
      <c r="E45">
        <v>44730.306199999999</v>
      </c>
      <c r="G45">
        <v>2.8999999999999998E-3</v>
      </c>
      <c r="H45">
        <v>1.19</v>
      </c>
      <c r="I45">
        <v>14</v>
      </c>
      <c r="J45" t="s">
        <v>472</v>
      </c>
    </row>
    <row r="46" spans="1:10">
      <c r="A46" t="s">
        <v>485</v>
      </c>
      <c r="B46" t="s">
        <v>479</v>
      </c>
      <c r="C46">
        <v>2</v>
      </c>
      <c r="E46">
        <v>46419.951999999997</v>
      </c>
      <c r="G46">
        <v>5.0000000000000001E-3</v>
      </c>
      <c r="H46">
        <v>0.87</v>
      </c>
      <c r="I46">
        <v>13</v>
      </c>
      <c r="J46" t="s">
        <v>472</v>
      </c>
    </row>
    <row r="47" spans="1:10">
      <c r="A47" t="s">
        <v>485</v>
      </c>
      <c r="B47" t="s">
        <v>479</v>
      </c>
      <c r="C47">
        <v>4</v>
      </c>
      <c r="E47">
        <v>46963.665800000002</v>
      </c>
      <c r="G47">
        <v>8.9999999999999998E-4</v>
      </c>
      <c r="H47">
        <v>1.34</v>
      </c>
      <c r="I47">
        <v>26</v>
      </c>
      <c r="J47" t="s">
        <v>472</v>
      </c>
    </row>
    <row r="48" spans="1:10">
      <c r="A48" t="s">
        <v>485</v>
      </c>
      <c r="B48" t="s">
        <v>271</v>
      </c>
      <c r="C48">
        <v>0</v>
      </c>
      <c r="E48">
        <v>46433.898000000001</v>
      </c>
      <c r="G48">
        <v>7.0000000000000001E-3</v>
      </c>
      <c r="I48">
        <v>41</v>
      </c>
      <c r="J48" t="s">
        <v>472</v>
      </c>
    </row>
    <row r="49" spans="1:10">
      <c r="A49" t="s">
        <v>485</v>
      </c>
      <c r="B49" t="s">
        <v>271</v>
      </c>
      <c r="C49">
        <v>3</v>
      </c>
      <c r="E49">
        <v>51097.508699999998</v>
      </c>
      <c r="G49">
        <v>1.4E-3</v>
      </c>
      <c r="H49">
        <v>1.21</v>
      </c>
      <c r="I49">
        <v>21</v>
      </c>
      <c r="J49" t="s">
        <v>472</v>
      </c>
    </row>
    <row r="50" spans="1:10">
      <c r="A50" t="s">
        <v>485</v>
      </c>
      <c r="B50" t="s">
        <v>271</v>
      </c>
      <c r="C50">
        <v>1</v>
      </c>
      <c r="E50">
        <v>52071.669000000002</v>
      </c>
      <c r="G50">
        <v>7.0000000000000001E-3</v>
      </c>
      <c r="H50">
        <v>1.22</v>
      </c>
      <c r="I50">
        <v>29</v>
      </c>
      <c r="J50" t="s">
        <v>472</v>
      </c>
    </row>
    <row r="51" spans="1:10">
      <c r="A51" t="s">
        <v>490</v>
      </c>
      <c r="B51" t="s">
        <v>491</v>
      </c>
      <c r="C51">
        <v>3</v>
      </c>
      <c r="E51">
        <v>46622.49</v>
      </c>
      <c r="G51">
        <v>4.3E-3</v>
      </c>
      <c r="H51">
        <v>1.1499999999999999</v>
      </c>
      <c r="I51">
        <v>30</v>
      </c>
      <c r="J51" t="s">
        <v>472</v>
      </c>
    </row>
    <row r="52" spans="1:10">
      <c r="A52" t="s">
        <v>475</v>
      </c>
      <c r="B52" t="s">
        <v>293</v>
      </c>
      <c r="C52">
        <v>5</v>
      </c>
      <c r="E52">
        <v>46792.940199999997</v>
      </c>
      <c r="G52">
        <v>1.2999999999999999E-3</v>
      </c>
      <c r="I52">
        <v>57</v>
      </c>
      <c r="J52" t="s">
        <v>472</v>
      </c>
    </row>
    <row r="53" spans="1:10">
      <c r="A53" t="s">
        <v>476</v>
      </c>
      <c r="B53" t="s">
        <v>303</v>
      </c>
      <c r="C53">
        <v>1</v>
      </c>
      <c r="E53">
        <v>47740.567999999999</v>
      </c>
      <c r="G53">
        <v>2.2000000000000001E-3</v>
      </c>
      <c r="H53">
        <v>1.43</v>
      </c>
      <c r="I53">
        <v>48</v>
      </c>
      <c r="J53" t="s">
        <v>472</v>
      </c>
    </row>
    <row r="54" spans="1:10">
      <c r="A54" t="s">
        <v>475</v>
      </c>
      <c r="B54" t="s">
        <v>283</v>
      </c>
      <c r="C54">
        <v>4</v>
      </c>
      <c r="E54">
        <v>48351.915300000001</v>
      </c>
      <c r="G54">
        <v>1.5E-3</v>
      </c>
      <c r="H54">
        <v>1.25</v>
      </c>
      <c r="I54">
        <v>33</v>
      </c>
      <c r="J54" t="s">
        <v>472</v>
      </c>
    </row>
    <row r="55" spans="1:10">
      <c r="A55" t="s">
        <v>475</v>
      </c>
      <c r="B55" t="s">
        <v>283</v>
      </c>
      <c r="C55">
        <v>3</v>
      </c>
      <c r="E55">
        <v>60328.028100000003</v>
      </c>
      <c r="G55">
        <v>2.0999999999999999E-3</v>
      </c>
      <c r="I55">
        <v>15</v>
      </c>
      <c r="J55" t="s">
        <v>472</v>
      </c>
    </row>
    <row r="56" spans="1:10">
      <c r="A56" t="s">
        <v>475</v>
      </c>
      <c r="B56" t="s">
        <v>486</v>
      </c>
      <c r="C56">
        <v>3</v>
      </c>
      <c r="E56">
        <v>48779.324999999997</v>
      </c>
      <c r="G56">
        <v>8.0000000000000004E-4</v>
      </c>
      <c r="H56">
        <v>1.22</v>
      </c>
      <c r="I56">
        <v>22</v>
      </c>
      <c r="J56" t="s">
        <v>472</v>
      </c>
    </row>
    <row r="57" spans="1:10">
      <c r="A57" t="s">
        <v>485</v>
      </c>
      <c r="B57" t="s">
        <v>492</v>
      </c>
      <c r="C57">
        <v>3</v>
      </c>
      <c r="E57">
        <v>49286.105100000001</v>
      </c>
      <c r="G57">
        <v>1.5E-3</v>
      </c>
      <c r="H57">
        <v>1.19</v>
      </c>
      <c r="I57">
        <v>18</v>
      </c>
      <c r="J57" t="s">
        <v>472</v>
      </c>
    </row>
    <row r="58" spans="1:10">
      <c r="A58" t="s">
        <v>476</v>
      </c>
      <c r="B58" t="s">
        <v>486</v>
      </c>
      <c r="C58">
        <v>1</v>
      </c>
      <c r="E58">
        <v>49544.552000000003</v>
      </c>
      <c r="G58">
        <v>4.0000000000000001E-3</v>
      </c>
      <c r="H58">
        <v>1.24</v>
      </c>
      <c r="I58">
        <v>27</v>
      </c>
      <c r="J58" t="s">
        <v>472</v>
      </c>
    </row>
    <row r="59" spans="1:10">
      <c r="A59" t="s">
        <v>490</v>
      </c>
      <c r="B59" t="s">
        <v>484</v>
      </c>
      <c r="C59">
        <v>4</v>
      </c>
      <c r="E59">
        <v>50010.149700000002</v>
      </c>
      <c r="G59">
        <v>1.2999999999999999E-3</v>
      </c>
      <c r="I59">
        <v>21</v>
      </c>
      <c r="J59" t="s">
        <v>472</v>
      </c>
    </row>
    <row r="60" spans="1:10">
      <c r="A60" t="s">
        <v>493</v>
      </c>
      <c r="B60" t="s">
        <v>494</v>
      </c>
      <c r="C60">
        <v>5</v>
      </c>
      <c r="E60">
        <v>50299.351000000002</v>
      </c>
      <c r="G60">
        <v>1.6999999999999999E-3</v>
      </c>
      <c r="I60">
        <v>26</v>
      </c>
      <c r="J60" t="s">
        <v>472</v>
      </c>
    </row>
    <row r="61" spans="1:10">
      <c r="A61" t="s">
        <v>490</v>
      </c>
      <c r="B61" t="s">
        <v>298</v>
      </c>
      <c r="C61">
        <v>2</v>
      </c>
      <c r="E61">
        <v>51286.934500000003</v>
      </c>
      <c r="G61">
        <v>1.1999999999999999E-3</v>
      </c>
      <c r="H61">
        <v>1.1299999999999999</v>
      </c>
      <c r="I61">
        <v>28</v>
      </c>
      <c r="J61" t="s">
        <v>472</v>
      </c>
    </row>
    <row r="62" spans="1:10">
      <c r="A62" t="s">
        <v>475</v>
      </c>
      <c r="B62" t="s">
        <v>491</v>
      </c>
      <c r="C62">
        <v>3</v>
      </c>
      <c r="E62">
        <v>51545.5216</v>
      </c>
      <c r="G62">
        <v>1.4E-3</v>
      </c>
      <c r="H62">
        <v>1.24</v>
      </c>
      <c r="I62">
        <v>30</v>
      </c>
      <c r="J62" t="s">
        <v>472</v>
      </c>
    </row>
    <row r="63" spans="1:10">
      <c r="A63" t="s">
        <v>490</v>
      </c>
      <c r="B63" t="s">
        <v>283</v>
      </c>
      <c r="C63">
        <v>2</v>
      </c>
      <c r="E63">
        <v>51753.296999999999</v>
      </c>
      <c r="G63">
        <v>1.6000000000000001E-3</v>
      </c>
      <c r="H63">
        <v>1.34</v>
      </c>
      <c r="I63">
        <v>12</v>
      </c>
      <c r="J63" t="s">
        <v>472</v>
      </c>
    </row>
    <row r="64" spans="1:10">
      <c r="A64" t="s">
        <v>495</v>
      </c>
      <c r="B64" t="s">
        <v>257</v>
      </c>
      <c r="C64">
        <v>3</v>
      </c>
      <c r="E64">
        <v>52379.366999999998</v>
      </c>
      <c r="G64">
        <v>5.0000000000000001E-3</v>
      </c>
      <c r="H64">
        <v>1.32</v>
      </c>
      <c r="I64">
        <v>100</v>
      </c>
      <c r="J64" t="s">
        <v>472</v>
      </c>
    </row>
    <row r="65" spans="1:10">
      <c r="A65" t="s">
        <v>495</v>
      </c>
      <c r="B65" t="s">
        <v>257</v>
      </c>
      <c r="C65">
        <v>1</v>
      </c>
      <c r="E65">
        <v>60357.79</v>
      </c>
      <c r="G65">
        <v>6.0000000000000001E-3</v>
      </c>
      <c r="H65">
        <v>0.52</v>
      </c>
      <c r="I65">
        <v>100</v>
      </c>
      <c r="J65" t="s">
        <v>472</v>
      </c>
    </row>
    <row r="66" spans="1:10">
      <c r="A66" t="s">
        <v>495</v>
      </c>
      <c r="B66" t="s">
        <v>257</v>
      </c>
      <c r="C66">
        <v>2</v>
      </c>
      <c r="E66">
        <v>60640.659</v>
      </c>
      <c r="G66">
        <v>4.0000000000000001E-3</v>
      </c>
      <c r="H66">
        <v>1.08</v>
      </c>
      <c r="I66">
        <v>57</v>
      </c>
      <c r="J66" t="s">
        <v>472</v>
      </c>
    </row>
    <row r="67" spans="1:10">
      <c r="A67" t="s">
        <v>490</v>
      </c>
      <c r="B67" t="s">
        <v>293</v>
      </c>
      <c r="C67">
        <v>5</v>
      </c>
      <c r="E67">
        <v>52438.587699999996</v>
      </c>
      <c r="G67">
        <v>1.2999999999999999E-3</v>
      </c>
      <c r="I67">
        <v>74</v>
      </c>
      <c r="J67" t="s">
        <v>472</v>
      </c>
    </row>
    <row r="68" spans="1:10">
      <c r="A68" t="s">
        <v>490</v>
      </c>
      <c r="B68" t="s">
        <v>496</v>
      </c>
      <c r="C68">
        <v>4</v>
      </c>
      <c r="E68">
        <v>52520.119899999998</v>
      </c>
      <c r="G68">
        <v>1.2999999999999999E-3</v>
      </c>
      <c r="I68">
        <v>29</v>
      </c>
      <c r="J68" t="s">
        <v>472</v>
      </c>
    </row>
    <row r="69" spans="1:10">
      <c r="A69" t="s">
        <v>495</v>
      </c>
      <c r="B69" t="s">
        <v>259</v>
      </c>
      <c r="C69">
        <v>2</v>
      </c>
      <c r="E69">
        <v>52667.196000000004</v>
      </c>
      <c r="G69">
        <v>5.0000000000000001E-3</v>
      </c>
      <c r="H69">
        <v>1.04</v>
      </c>
      <c r="I69">
        <v>57</v>
      </c>
      <c r="J69" t="s">
        <v>472</v>
      </c>
    </row>
    <row r="70" spans="1:10">
      <c r="A70" t="s">
        <v>485</v>
      </c>
      <c r="B70" t="s">
        <v>487</v>
      </c>
      <c r="C70">
        <v>2</v>
      </c>
      <c r="E70">
        <v>52708.3577</v>
      </c>
      <c r="G70">
        <v>1.4E-3</v>
      </c>
      <c r="H70">
        <v>1.46</v>
      </c>
      <c r="I70">
        <v>51</v>
      </c>
      <c r="J70" t="s">
        <v>472</v>
      </c>
    </row>
    <row r="71" spans="1:10">
      <c r="A71" t="s">
        <v>485</v>
      </c>
      <c r="B71" t="s">
        <v>487</v>
      </c>
      <c r="C71">
        <v>4</v>
      </c>
      <c r="E71">
        <v>54178.508999999998</v>
      </c>
      <c r="G71">
        <v>1.1999999999999999E-3</v>
      </c>
      <c r="I71">
        <v>22</v>
      </c>
      <c r="J71" t="s">
        <v>472</v>
      </c>
    </row>
    <row r="72" spans="1:10">
      <c r="A72" t="s">
        <v>490</v>
      </c>
      <c r="B72" t="s">
        <v>287</v>
      </c>
      <c r="C72">
        <v>1</v>
      </c>
      <c r="E72">
        <v>53019.296000000002</v>
      </c>
      <c r="G72">
        <v>4.0000000000000001E-3</v>
      </c>
      <c r="H72">
        <v>1.08</v>
      </c>
      <c r="I72">
        <v>16</v>
      </c>
      <c r="J72" t="s">
        <v>472</v>
      </c>
    </row>
    <row r="73" spans="1:10">
      <c r="A73" t="s">
        <v>497</v>
      </c>
      <c r="B73" t="s">
        <v>287</v>
      </c>
      <c r="C73">
        <v>1</v>
      </c>
      <c r="E73">
        <v>53665.237999999998</v>
      </c>
      <c r="G73">
        <v>4.0000000000000001E-3</v>
      </c>
      <c r="I73">
        <v>38</v>
      </c>
      <c r="J73" t="s">
        <v>472</v>
      </c>
    </row>
    <row r="74" spans="1:10">
      <c r="A74" t="s">
        <v>497</v>
      </c>
      <c r="B74" t="s">
        <v>287</v>
      </c>
      <c r="C74">
        <v>3</v>
      </c>
      <c r="E74">
        <v>55536.262999999999</v>
      </c>
      <c r="G74">
        <v>4.0000000000000001E-3</v>
      </c>
      <c r="I74">
        <v>18</v>
      </c>
      <c r="J74" t="s">
        <v>472</v>
      </c>
    </row>
    <row r="75" spans="1:10">
      <c r="A75" t="s">
        <v>497</v>
      </c>
      <c r="B75" t="s">
        <v>287</v>
      </c>
      <c r="C75">
        <v>2</v>
      </c>
      <c r="E75">
        <v>58326.720000000001</v>
      </c>
      <c r="G75">
        <v>0.03</v>
      </c>
      <c r="I75">
        <v>19</v>
      </c>
      <c r="J75" t="s">
        <v>472</v>
      </c>
    </row>
    <row r="76" spans="1:10">
      <c r="A76" t="s">
        <v>497</v>
      </c>
      <c r="B76" t="s">
        <v>282</v>
      </c>
      <c r="C76">
        <v>2</v>
      </c>
      <c r="E76">
        <v>53953.355300000003</v>
      </c>
      <c r="G76">
        <v>2.2000000000000001E-3</v>
      </c>
      <c r="H76">
        <v>1.32</v>
      </c>
      <c r="I76">
        <v>23</v>
      </c>
      <c r="J76" t="s">
        <v>472</v>
      </c>
    </row>
    <row r="77" spans="1:10">
      <c r="A77" t="s">
        <v>497</v>
      </c>
      <c r="B77" t="s">
        <v>282</v>
      </c>
      <c r="C77">
        <v>1</v>
      </c>
      <c r="E77">
        <v>63466.277999999998</v>
      </c>
      <c r="G77">
        <v>8.0000000000000002E-3</v>
      </c>
      <c r="I77">
        <v>16</v>
      </c>
      <c r="J77" t="s">
        <v>472</v>
      </c>
    </row>
    <row r="78" spans="1:10">
      <c r="A78" t="s">
        <v>485</v>
      </c>
      <c r="B78" t="s">
        <v>498</v>
      </c>
      <c r="C78">
        <v>3</v>
      </c>
      <c r="E78">
        <v>54011.137999999999</v>
      </c>
      <c r="G78">
        <v>5.0000000000000001E-3</v>
      </c>
      <c r="I78">
        <v>15</v>
      </c>
      <c r="J78" t="s">
        <v>472</v>
      </c>
    </row>
    <row r="79" spans="1:10">
      <c r="A79" t="s">
        <v>485</v>
      </c>
      <c r="B79" t="s">
        <v>343</v>
      </c>
      <c r="C79">
        <v>2</v>
      </c>
      <c r="E79">
        <v>54133.250399999997</v>
      </c>
      <c r="G79">
        <v>1.9E-3</v>
      </c>
      <c r="I79">
        <v>30</v>
      </c>
      <c r="J79" t="s">
        <v>472</v>
      </c>
    </row>
    <row r="80" spans="1:10">
      <c r="A80" t="s">
        <v>485</v>
      </c>
      <c r="B80" t="s">
        <v>486</v>
      </c>
      <c r="C80">
        <v>3</v>
      </c>
      <c r="E80">
        <v>54839.187299999998</v>
      </c>
      <c r="G80">
        <v>1.6999999999999999E-3</v>
      </c>
      <c r="H80">
        <v>1.21</v>
      </c>
      <c r="I80">
        <v>26</v>
      </c>
      <c r="J80" t="s">
        <v>472</v>
      </c>
    </row>
    <row r="81" spans="1:10">
      <c r="A81" t="s">
        <v>499</v>
      </c>
      <c r="B81" t="s">
        <v>500</v>
      </c>
      <c r="C81">
        <v>4</v>
      </c>
      <c r="E81">
        <v>55009.362000000001</v>
      </c>
      <c r="G81">
        <v>1.7999999999999999E-2</v>
      </c>
      <c r="I81">
        <v>68</v>
      </c>
      <c r="J81" t="s">
        <v>472</v>
      </c>
    </row>
    <row r="82" spans="1:10">
      <c r="A82" t="s">
        <v>499</v>
      </c>
      <c r="B82" t="s">
        <v>500</v>
      </c>
      <c r="C82">
        <v>5</v>
      </c>
      <c r="E82">
        <v>55984.527900000001</v>
      </c>
      <c r="G82">
        <v>1.5E-3</v>
      </c>
      <c r="I82">
        <v>45</v>
      </c>
      <c r="J82" t="s">
        <v>472</v>
      </c>
    </row>
    <row r="83" spans="1:10">
      <c r="A83" t="s">
        <v>476</v>
      </c>
      <c r="B83" t="s">
        <v>491</v>
      </c>
      <c r="C83">
        <v>1</v>
      </c>
      <c r="E83">
        <v>55216.815000000002</v>
      </c>
      <c r="G83">
        <v>7.0000000000000001E-3</v>
      </c>
      <c r="H83">
        <v>0.96</v>
      </c>
      <c r="I83">
        <v>17</v>
      </c>
      <c r="J83" t="s">
        <v>472</v>
      </c>
    </row>
    <row r="84" spans="1:10">
      <c r="A84" t="s">
        <v>501</v>
      </c>
      <c r="B84" t="s">
        <v>502</v>
      </c>
      <c r="C84">
        <v>5</v>
      </c>
      <c r="E84">
        <v>55640.612000000001</v>
      </c>
      <c r="G84">
        <v>6.0000000000000001E-3</v>
      </c>
      <c r="H84">
        <v>1.41</v>
      </c>
      <c r="I84" t="s">
        <v>503</v>
      </c>
      <c r="J84" t="s">
        <v>472</v>
      </c>
    </row>
    <row r="85" spans="1:10">
      <c r="A85" t="s">
        <v>501</v>
      </c>
      <c r="B85" t="s">
        <v>502</v>
      </c>
      <c r="C85">
        <v>4</v>
      </c>
      <c r="E85">
        <v>56784.313999999998</v>
      </c>
      <c r="G85">
        <v>5.0000000000000001E-3</v>
      </c>
      <c r="H85">
        <v>1.27</v>
      </c>
      <c r="I85" t="s">
        <v>503</v>
      </c>
      <c r="J85" t="s">
        <v>472</v>
      </c>
    </row>
    <row r="86" spans="1:10">
      <c r="A86" t="s">
        <v>501</v>
      </c>
      <c r="B86" t="s">
        <v>502</v>
      </c>
      <c r="C86">
        <v>3</v>
      </c>
      <c r="E86">
        <v>60790.38</v>
      </c>
      <c r="G86">
        <v>5.0000000000000001E-3</v>
      </c>
      <c r="H86">
        <v>1.07</v>
      </c>
      <c r="I86" t="s">
        <v>503</v>
      </c>
      <c r="J86" t="s">
        <v>472</v>
      </c>
    </row>
    <row r="87" spans="1:10">
      <c r="A87" t="s">
        <v>499</v>
      </c>
      <c r="B87" t="s">
        <v>283</v>
      </c>
      <c r="C87">
        <v>4</v>
      </c>
      <c r="E87">
        <v>56288.664199999999</v>
      </c>
      <c r="G87">
        <v>2E-3</v>
      </c>
      <c r="I87">
        <v>58</v>
      </c>
      <c r="J87" t="s">
        <v>472</v>
      </c>
    </row>
    <row r="88" spans="1:10">
      <c r="A88" t="s">
        <v>485</v>
      </c>
      <c r="B88" t="s">
        <v>282</v>
      </c>
      <c r="C88">
        <v>2</v>
      </c>
      <c r="E88">
        <v>56670.178899999999</v>
      </c>
      <c r="G88">
        <v>2.8999999999999998E-3</v>
      </c>
      <c r="I88">
        <v>34</v>
      </c>
      <c r="J88" t="s">
        <v>472</v>
      </c>
    </row>
    <row r="89" spans="1:10">
      <c r="A89" t="s">
        <v>485</v>
      </c>
      <c r="B89" t="s">
        <v>282</v>
      </c>
      <c r="C89">
        <v>1</v>
      </c>
      <c r="E89">
        <v>57041.731200000002</v>
      </c>
      <c r="G89">
        <v>1.8E-3</v>
      </c>
      <c r="I89">
        <v>22</v>
      </c>
      <c r="J89" t="s">
        <v>472</v>
      </c>
    </row>
    <row r="90" spans="1:10">
      <c r="A90" t="s">
        <v>493</v>
      </c>
      <c r="B90" t="s">
        <v>504</v>
      </c>
      <c r="C90">
        <v>5</v>
      </c>
      <c r="E90">
        <v>56794.4378</v>
      </c>
      <c r="G90">
        <v>1.6000000000000001E-3</v>
      </c>
      <c r="I90">
        <v>24</v>
      </c>
      <c r="J90" t="s">
        <v>472</v>
      </c>
    </row>
    <row r="91" spans="1:10">
      <c r="A91" t="s">
        <v>499</v>
      </c>
      <c r="B91" t="s">
        <v>484</v>
      </c>
      <c r="C91">
        <v>3</v>
      </c>
      <c r="E91">
        <v>57506.2281</v>
      </c>
      <c r="G91">
        <v>1.6999999999999999E-3</v>
      </c>
      <c r="I91">
        <v>33</v>
      </c>
      <c r="J91" t="s">
        <v>472</v>
      </c>
    </row>
    <row r="92" spans="1:10">
      <c r="A92" t="s">
        <v>499</v>
      </c>
      <c r="B92" t="s">
        <v>484</v>
      </c>
      <c r="C92">
        <v>2</v>
      </c>
      <c r="E92">
        <v>61097.466999999997</v>
      </c>
      <c r="G92">
        <v>3.0000000000000001E-3</v>
      </c>
      <c r="I92">
        <v>28</v>
      </c>
      <c r="J92" t="s">
        <v>472</v>
      </c>
    </row>
    <row r="93" spans="1:10">
      <c r="A93" t="s">
        <v>505</v>
      </c>
      <c r="B93" t="s">
        <v>282</v>
      </c>
      <c r="C93">
        <v>2</v>
      </c>
      <c r="E93">
        <v>57987.379000000001</v>
      </c>
      <c r="G93">
        <v>8.9999999999999993E-3</v>
      </c>
      <c r="I93">
        <v>48</v>
      </c>
      <c r="J93" t="s">
        <v>472</v>
      </c>
    </row>
    <row r="94" spans="1:10">
      <c r="A94" t="s">
        <v>505</v>
      </c>
      <c r="B94" t="s">
        <v>283</v>
      </c>
      <c r="C94">
        <v>3</v>
      </c>
      <c r="E94">
        <v>58101.165000000001</v>
      </c>
      <c r="G94">
        <v>3.0000000000000001E-3</v>
      </c>
      <c r="I94">
        <v>16</v>
      </c>
      <c r="J94" t="s">
        <v>472</v>
      </c>
    </row>
    <row r="95" spans="1:10">
      <c r="A95" t="s">
        <v>493</v>
      </c>
      <c r="B95" t="s">
        <v>272</v>
      </c>
      <c r="C95">
        <v>4</v>
      </c>
      <c r="E95">
        <v>58388.4588</v>
      </c>
      <c r="G95">
        <v>1.8E-3</v>
      </c>
      <c r="I95">
        <v>32</v>
      </c>
      <c r="J95" t="s">
        <v>472</v>
      </c>
    </row>
    <row r="96" spans="1:10">
      <c r="A96" t="s">
        <v>493</v>
      </c>
      <c r="B96" t="s">
        <v>272</v>
      </c>
      <c r="C96">
        <v>3</v>
      </c>
      <c r="E96">
        <v>59686.1878</v>
      </c>
      <c r="G96">
        <v>2.3999999999999998E-3</v>
      </c>
      <c r="I96">
        <v>19</v>
      </c>
      <c r="J96" t="s">
        <v>472</v>
      </c>
    </row>
    <row r="97" spans="1:10">
      <c r="A97" t="s">
        <v>505</v>
      </c>
      <c r="B97" t="s">
        <v>296</v>
      </c>
      <c r="C97">
        <v>3</v>
      </c>
      <c r="E97">
        <v>58482.153299999998</v>
      </c>
      <c r="G97">
        <v>4.1999999999999997E-3</v>
      </c>
      <c r="I97">
        <v>22</v>
      </c>
      <c r="J97" t="s">
        <v>472</v>
      </c>
    </row>
    <row r="98" spans="1:10">
      <c r="A98" t="s">
        <v>505</v>
      </c>
      <c r="B98" t="s">
        <v>506</v>
      </c>
      <c r="C98">
        <v>1</v>
      </c>
      <c r="E98">
        <v>58780.788800000002</v>
      </c>
      <c r="G98">
        <v>2.5999999999999999E-3</v>
      </c>
      <c r="I98">
        <v>16</v>
      </c>
      <c r="J98" t="s">
        <v>472</v>
      </c>
    </row>
    <row r="99" spans="1:10">
      <c r="A99" t="s">
        <v>483</v>
      </c>
      <c r="B99" t="s">
        <v>496</v>
      </c>
      <c r="C99">
        <v>2</v>
      </c>
      <c r="E99">
        <v>59127.701000000001</v>
      </c>
      <c r="G99">
        <v>3.0000000000000001E-3</v>
      </c>
      <c r="I99">
        <v>21</v>
      </c>
      <c r="J99" t="s">
        <v>472</v>
      </c>
    </row>
    <row r="100" spans="1:10">
      <c r="A100" t="s">
        <v>505</v>
      </c>
      <c r="B100" t="s">
        <v>484</v>
      </c>
      <c r="C100">
        <v>4</v>
      </c>
      <c r="E100">
        <v>59346.321499999998</v>
      </c>
      <c r="G100">
        <v>1.9E-3</v>
      </c>
      <c r="I100">
        <v>22</v>
      </c>
      <c r="J100" t="s">
        <v>472</v>
      </c>
    </row>
    <row r="101" spans="1:10">
      <c r="A101" t="s">
        <v>505</v>
      </c>
      <c r="B101" t="s">
        <v>507</v>
      </c>
      <c r="C101">
        <v>2</v>
      </c>
      <c r="E101">
        <v>59462.286999999997</v>
      </c>
      <c r="G101">
        <v>4.0000000000000001E-3</v>
      </c>
      <c r="I101">
        <v>13</v>
      </c>
      <c r="J101" t="s">
        <v>472</v>
      </c>
    </row>
    <row r="102" spans="1:10">
      <c r="A102" t="s">
        <v>505</v>
      </c>
      <c r="B102" t="s">
        <v>496</v>
      </c>
      <c r="C102">
        <v>4</v>
      </c>
      <c r="E102">
        <v>59492.37</v>
      </c>
      <c r="G102">
        <v>0.04</v>
      </c>
      <c r="I102">
        <v>71</v>
      </c>
      <c r="J102" t="s">
        <v>472</v>
      </c>
    </row>
    <row r="103" spans="1:10">
      <c r="A103" t="s">
        <v>508</v>
      </c>
      <c r="B103" t="s">
        <v>509</v>
      </c>
      <c r="C103">
        <v>1</v>
      </c>
      <c r="E103">
        <v>59591.803</v>
      </c>
      <c r="G103">
        <v>1.4999999999999999E-2</v>
      </c>
      <c r="H103">
        <v>1.72</v>
      </c>
      <c r="I103">
        <v>57</v>
      </c>
      <c r="J103" t="s">
        <v>472</v>
      </c>
    </row>
    <row r="104" spans="1:10">
      <c r="A104" t="s">
        <v>508</v>
      </c>
      <c r="B104" t="s">
        <v>266</v>
      </c>
      <c r="C104">
        <v>2</v>
      </c>
      <c r="E104">
        <v>59731.559000000001</v>
      </c>
      <c r="G104">
        <v>6.0000000000000001E-3</v>
      </c>
      <c r="H104">
        <v>1.3</v>
      </c>
      <c r="I104">
        <v>53</v>
      </c>
      <c r="J104" t="s">
        <v>472</v>
      </c>
    </row>
    <row r="105" spans="1:10">
      <c r="A105" t="s">
        <v>508</v>
      </c>
      <c r="B105" t="s">
        <v>23</v>
      </c>
      <c r="C105">
        <v>4</v>
      </c>
      <c r="E105">
        <v>59751.167000000001</v>
      </c>
      <c r="G105">
        <v>6.0000000000000001E-3</v>
      </c>
      <c r="I105">
        <v>50</v>
      </c>
      <c r="J105" t="s">
        <v>472</v>
      </c>
    </row>
    <row r="106" spans="1:10">
      <c r="A106" t="s">
        <v>508</v>
      </c>
      <c r="B106" t="s">
        <v>257</v>
      </c>
      <c r="C106">
        <v>3</v>
      </c>
      <c r="E106">
        <v>59764.252999999997</v>
      </c>
      <c r="G106">
        <v>4.0000000000000001E-3</v>
      </c>
      <c r="H106">
        <v>1.27</v>
      </c>
      <c r="I106">
        <v>52</v>
      </c>
      <c r="J106" t="s">
        <v>472</v>
      </c>
    </row>
    <row r="107" spans="1:10">
      <c r="A107" t="s">
        <v>508</v>
      </c>
      <c r="B107" t="s">
        <v>510</v>
      </c>
      <c r="C107">
        <v>1</v>
      </c>
      <c r="E107">
        <v>59782.84</v>
      </c>
      <c r="G107">
        <v>7.0000000000000001E-3</v>
      </c>
      <c r="H107">
        <v>1.07</v>
      </c>
      <c r="I107">
        <v>57</v>
      </c>
      <c r="J107" t="s">
        <v>472</v>
      </c>
    </row>
    <row r="108" spans="1:10">
      <c r="A108" t="s">
        <v>485</v>
      </c>
      <c r="B108" t="s">
        <v>367</v>
      </c>
      <c r="C108">
        <v>1</v>
      </c>
      <c r="E108">
        <v>59792.207999999999</v>
      </c>
      <c r="G108">
        <v>2.5000000000000001E-2</v>
      </c>
      <c r="I108">
        <v>13</v>
      </c>
      <c r="J108" t="s">
        <v>472</v>
      </c>
    </row>
    <row r="109" spans="1:10">
      <c r="A109" t="s">
        <v>508</v>
      </c>
      <c r="B109" t="s">
        <v>511</v>
      </c>
      <c r="C109">
        <v>5</v>
      </c>
      <c r="E109">
        <v>59812.737000000001</v>
      </c>
      <c r="G109">
        <v>2.7E-2</v>
      </c>
      <c r="I109">
        <v>100</v>
      </c>
      <c r="J109" t="s">
        <v>472</v>
      </c>
    </row>
    <row r="110" spans="1:10">
      <c r="A110" t="s">
        <v>508</v>
      </c>
      <c r="B110" t="s">
        <v>511</v>
      </c>
      <c r="C110">
        <v>3</v>
      </c>
      <c r="E110">
        <v>68006.936000000002</v>
      </c>
      <c r="G110">
        <v>0.01</v>
      </c>
      <c r="I110">
        <v>88</v>
      </c>
      <c r="J110" t="s">
        <v>472</v>
      </c>
    </row>
    <row r="111" spans="1:10">
      <c r="A111" t="s">
        <v>508</v>
      </c>
      <c r="B111" t="s">
        <v>385</v>
      </c>
      <c r="C111">
        <v>3</v>
      </c>
      <c r="E111">
        <v>59872.127999999997</v>
      </c>
      <c r="G111">
        <v>4.0000000000000001E-3</v>
      </c>
      <c r="H111">
        <v>1.23</v>
      </c>
      <c r="I111">
        <v>56</v>
      </c>
      <c r="J111" t="s">
        <v>472</v>
      </c>
    </row>
    <row r="112" spans="1:10">
      <c r="A112" t="s">
        <v>508</v>
      </c>
      <c r="B112" t="s">
        <v>254</v>
      </c>
      <c r="C112">
        <v>4</v>
      </c>
      <c r="E112">
        <v>59882.41</v>
      </c>
      <c r="G112">
        <v>5.0000000000000001E-3</v>
      </c>
      <c r="H112">
        <v>1.17</v>
      </c>
      <c r="I112">
        <v>82</v>
      </c>
      <c r="J112" t="s">
        <v>472</v>
      </c>
    </row>
    <row r="113" spans="1:10">
      <c r="A113" t="s">
        <v>508</v>
      </c>
      <c r="B113" t="s">
        <v>254</v>
      </c>
      <c r="C113">
        <v>3</v>
      </c>
      <c r="E113">
        <v>68072.232999999993</v>
      </c>
      <c r="G113">
        <v>1.7000000000000001E-2</v>
      </c>
      <c r="I113">
        <v>49</v>
      </c>
      <c r="J113" t="s">
        <v>472</v>
      </c>
    </row>
    <row r="114" spans="1:10">
      <c r="A114" t="s">
        <v>508</v>
      </c>
      <c r="B114" t="s">
        <v>254</v>
      </c>
      <c r="C114">
        <v>2</v>
      </c>
      <c r="E114">
        <v>68094.733999999997</v>
      </c>
      <c r="G114">
        <v>1.0999999999999999E-2</v>
      </c>
      <c r="I114">
        <v>53</v>
      </c>
      <c r="J114" t="s">
        <v>472</v>
      </c>
    </row>
    <row r="115" spans="1:10">
      <c r="A115" t="s">
        <v>508</v>
      </c>
      <c r="B115" t="s">
        <v>30</v>
      </c>
      <c r="C115">
        <v>2</v>
      </c>
      <c r="E115">
        <v>59908.156000000003</v>
      </c>
      <c r="G115">
        <v>6.0000000000000001E-3</v>
      </c>
      <c r="H115">
        <v>1.02</v>
      </c>
      <c r="I115">
        <v>59</v>
      </c>
      <c r="J115" t="s">
        <v>472</v>
      </c>
    </row>
    <row r="116" spans="1:10">
      <c r="A116" t="s">
        <v>505</v>
      </c>
      <c r="B116" t="s">
        <v>512</v>
      </c>
      <c r="C116">
        <v>2</v>
      </c>
      <c r="E116">
        <v>59916.94</v>
      </c>
      <c r="G116">
        <v>4.0000000000000001E-3</v>
      </c>
      <c r="I116">
        <v>25</v>
      </c>
      <c r="J116" t="s">
        <v>472</v>
      </c>
    </row>
    <row r="117" spans="1:10">
      <c r="A117" t="s">
        <v>505</v>
      </c>
      <c r="B117" t="s">
        <v>287</v>
      </c>
      <c r="C117">
        <v>3</v>
      </c>
      <c r="E117">
        <v>59920.03</v>
      </c>
      <c r="G117">
        <v>0.04</v>
      </c>
      <c r="I117">
        <v>78</v>
      </c>
      <c r="J117" t="s">
        <v>472</v>
      </c>
    </row>
    <row r="118" spans="1:10">
      <c r="A118" t="s">
        <v>499</v>
      </c>
      <c r="B118" t="s">
        <v>293</v>
      </c>
      <c r="C118">
        <v>4</v>
      </c>
      <c r="E118">
        <v>60423.922599999998</v>
      </c>
      <c r="G118">
        <v>1.9E-3</v>
      </c>
      <c r="I118">
        <v>27</v>
      </c>
      <c r="J118" t="s">
        <v>472</v>
      </c>
    </row>
    <row r="119" spans="1:10">
      <c r="A119" t="s">
        <v>499</v>
      </c>
      <c r="B119" t="s">
        <v>293</v>
      </c>
      <c r="C119">
        <v>5</v>
      </c>
      <c r="E119">
        <v>61633.78</v>
      </c>
      <c r="G119">
        <v>0.03</v>
      </c>
      <c r="I119">
        <v>43</v>
      </c>
      <c r="J119" t="s">
        <v>472</v>
      </c>
    </row>
    <row r="120" spans="1:10">
      <c r="A120" t="s">
        <v>505</v>
      </c>
      <c r="B120" t="s">
        <v>513</v>
      </c>
      <c r="C120">
        <v>1</v>
      </c>
      <c r="E120">
        <v>60441.269</v>
      </c>
      <c r="G120">
        <v>6.0000000000000001E-3</v>
      </c>
      <c r="I120">
        <v>22</v>
      </c>
      <c r="J120" t="s">
        <v>472</v>
      </c>
    </row>
    <row r="121" spans="1:10">
      <c r="A121" t="s">
        <v>508</v>
      </c>
      <c r="B121" t="s">
        <v>264</v>
      </c>
      <c r="C121">
        <v>0</v>
      </c>
      <c r="E121">
        <v>60573.68</v>
      </c>
      <c r="G121">
        <v>0.04</v>
      </c>
      <c r="I121">
        <v>51</v>
      </c>
      <c r="J121" t="s">
        <v>472</v>
      </c>
    </row>
    <row r="122" spans="1:10">
      <c r="A122" t="s">
        <v>514</v>
      </c>
      <c r="B122" t="s">
        <v>515</v>
      </c>
      <c r="C122">
        <v>4</v>
      </c>
      <c r="E122">
        <v>60883.985000000001</v>
      </c>
      <c r="G122">
        <v>5.0000000000000001E-3</v>
      </c>
      <c r="H122">
        <v>1.29</v>
      </c>
      <c r="I122" t="s">
        <v>503</v>
      </c>
      <c r="J122" t="s">
        <v>472</v>
      </c>
    </row>
    <row r="123" spans="1:10">
      <c r="A123" t="s">
        <v>499</v>
      </c>
      <c r="B123" t="s">
        <v>496</v>
      </c>
      <c r="C123">
        <v>3</v>
      </c>
      <c r="E123">
        <v>61352.258500000004</v>
      </c>
      <c r="G123">
        <v>1.8E-3</v>
      </c>
      <c r="I123">
        <v>14</v>
      </c>
      <c r="J123" t="s">
        <v>472</v>
      </c>
    </row>
    <row r="124" spans="1:10">
      <c r="A124" t="s">
        <v>499</v>
      </c>
      <c r="B124" t="s">
        <v>496</v>
      </c>
      <c r="C124">
        <v>2</v>
      </c>
      <c r="E124">
        <v>61645.349699999999</v>
      </c>
      <c r="G124">
        <v>2.3999999999999998E-3</v>
      </c>
      <c r="I124">
        <v>27</v>
      </c>
      <c r="J124" t="s">
        <v>472</v>
      </c>
    </row>
    <row r="125" spans="1:10">
      <c r="A125" t="s">
        <v>516</v>
      </c>
      <c r="B125" t="s">
        <v>517</v>
      </c>
      <c r="C125">
        <v>4</v>
      </c>
      <c r="E125">
        <v>61942.21</v>
      </c>
      <c r="G125">
        <v>0.05</v>
      </c>
      <c r="I125" t="s">
        <v>503</v>
      </c>
      <c r="J125" t="s">
        <v>472</v>
      </c>
    </row>
    <row r="126" spans="1:10">
      <c r="A126" t="s">
        <v>493</v>
      </c>
      <c r="B126" t="s">
        <v>480</v>
      </c>
      <c r="C126">
        <v>2</v>
      </c>
      <c r="E126">
        <v>62062.286</v>
      </c>
      <c r="G126">
        <v>4.0000000000000001E-3</v>
      </c>
      <c r="I126">
        <v>16</v>
      </c>
      <c r="J126" t="s">
        <v>472</v>
      </c>
    </row>
    <row r="127" spans="1:10">
      <c r="A127" t="s">
        <v>485</v>
      </c>
      <c r="B127" t="s">
        <v>491</v>
      </c>
      <c r="C127">
        <v>3</v>
      </c>
      <c r="E127">
        <v>62106.343999999997</v>
      </c>
      <c r="G127">
        <v>4.0000000000000001E-3</v>
      </c>
      <c r="I127">
        <v>15</v>
      </c>
      <c r="J127" t="s">
        <v>472</v>
      </c>
    </row>
    <row r="128" spans="1:10">
      <c r="A128" t="s">
        <v>483</v>
      </c>
      <c r="B128" t="s">
        <v>283</v>
      </c>
      <c r="C128">
        <v>3</v>
      </c>
      <c r="E128">
        <v>62321.910799999998</v>
      </c>
      <c r="G128">
        <v>2.5999999999999999E-3</v>
      </c>
      <c r="I128">
        <v>21</v>
      </c>
      <c r="J128" t="s">
        <v>472</v>
      </c>
    </row>
    <row r="129" spans="1:10">
      <c r="A129" t="s">
        <v>518</v>
      </c>
      <c r="B129" t="s">
        <v>519</v>
      </c>
      <c r="C129">
        <v>4</v>
      </c>
      <c r="E129">
        <v>62510.400000000001</v>
      </c>
      <c r="G129">
        <v>0.08</v>
      </c>
      <c r="I129" t="s">
        <v>503</v>
      </c>
      <c r="J129" t="s">
        <v>472</v>
      </c>
    </row>
    <row r="130" spans="1:10">
      <c r="A130" t="s">
        <v>518</v>
      </c>
      <c r="B130" t="s">
        <v>519</v>
      </c>
      <c r="C130">
        <v>5</v>
      </c>
      <c r="E130">
        <v>62835.57</v>
      </c>
      <c r="G130">
        <v>7.0000000000000007E-2</v>
      </c>
      <c r="I130" t="s">
        <v>503</v>
      </c>
      <c r="J130" t="s">
        <v>472</v>
      </c>
    </row>
    <row r="131" spans="1:10">
      <c r="A131" t="s">
        <v>518</v>
      </c>
      <c r="B131" t="s">
        <v>519</v>
      </c>
      <c r="C131">
        <v>3</v>
      </c>
      <c r="E131">
        <v>63167.328399999999</v>
      </c>
      <c r="G131">
        <v>2.3999999999999998E-3</v>
      </c>
      <c r="I131" t="s">
        <v>503</v>
      </c>
      <c r="J131" t="s">
        <v>472</v>
      </c>
    </row>
    <row r="132" spans="1:10">
      <c r="A132" t="s">
        <v>520</v>
      </c>
      <c r="B132" t="s">
        <v>257</v>
      </c>
      <c r="C132">
        <v>3</v>
      </c>
      <c r="E132">
        <v>62567.983</v>
      </c>
      <c r="G132">
        <v>8.9999999999999993E-3</v>
      </c>
      <c r="I132">
        <v>100</v>
      </c>
      <c r="J132" t="s">
        <v>472</v>
      </c>
    </row>
    <row r="133" spans="1:10">
      <c r="A133" t="s">
        <v>485</v>
      </c>
      <c r="B133" t="s">
        <v>287</v>
      </c>
      <c r="C133">
        <v>2</v>
      </c>
      <c r="E133">
        <v>62659.254500000003</v>
      </c>
      <c r="G133">
        <v>4.3E-3</v>
      </c>
      <c r="I133">
        <v>13</v>
      </c>
      <c r="J133" t="s">
        <v>472</v>
      </c>
    </row>
    <row r="134" spans="1:10">
      <c r="A134" t="s">
        <v>485</v>
      </c>
      <c r="B134" t="s">
        <v>287</v>
      </c>
      <c r="C134">
        <v>1</v>
      </c>
      <c r="E134">
        <v>64619.635000000002</v>
      </c>
      <c r="G134">
        <v>6.0000000000000001E-3</v>
      </c>
      <c r="I134">
        <v>25</v>
      </c>
      <c r="J134" t="s">
        <v>472</v>
      </c>
    </row>
    <row r="135" spans="1:10">
      <c r="A135" t="s">
        <v>520</v>
      </c>
      <c r="B135" t="s">
        <v>259</v>
      </c>
      <c r="C135">
        <v>2</v>
      </c>
      <c r="E135">
        <v>62705.315000000002</v>
      </c>
      <c r="G135">
        <v>7.0000000000000001E-3</v>
      </c>
      <c r="I135">
        <v>58</v>
      </c>
      <c r="J135" t="s">
        <v>472</v>
      </c>
    </row>
    <row r="136" spans="1:10">
      <c r="A136" t="s">
        <v>483</v>
      </c>
      <c r="B136" t="s">
        <v>491</v>
      </c>
      <c r="C136">
        <v>1</v>
      </c>
      <c r="E136">
        <v>63067.457000000002</v>
      </c>
      <c r="G136">
        <v>2.7E-2</v>
      </c>
      <c r="I136">
        <v>19</v>
      </c>
      <c r="J136" t="s">
        <v>472</v>
      </c>
    </row>
    <row r="137" spans="1:10">
      <c r="A137" t="s">
        <v>521</v>
      </c>
      <c r="B137" t="s">
        <v>522</v>
      </c>
      <c r="C137">
        <v>6</v>
      </c>
      <c r="E137">
        <v>63352.9</v>
      </c>
      <c r="G137">
        <v>0.1</v>
      </c>
      <c r="I137" t="s">
        <v>503</v>
      </c>
      <c r="J137" t="s">
        <v>472</v>
      </c>
    </row>
    <row r="138" spans="1:10">
      <c r="A138" t="s">
        <v>521</v>
      </c>
      <c r="B138" t="s">
        <v>522</v>
      </c>
      <c r="C138">
        <v>5</v>
      </c>
      <c r="E138">
        <v>63945.120000000003</v>
      </c>
      <c r="G138">
        <v>0.08</v>
      </c>
      <c r="I138" t="s">
        <v>503</v>
      </c>
      <c r="J138" t="s">
        <v>472</v>
      </c>
    </row>
    <row r="139" spans="1:10">
      <c r="A139" t="s">
        <v>521</v>
      </c>
      <c r="B139" t="s">
        <v>522</v>
      </c>
      <c r="C139">
        <v>4</v>
      </c>
      <c r="E139">
        <v>64319.38</v>
      </c>
      <c r="G139">
        <v>0.06</v>
      </c>
      <c r="I139" t="s">
        <v>503</v>
      </c>
      <c r="J139" t="s">
        <v>472</v>
      </c>
    </row>
    <row r="140" spans="1:10">
      <c r="A140" t="s">
        <v>521</v>
      </c>
      <c r="B140" t="s">
        <v>522</v>
      </c>
      <c r="C140">
        <v>3</v>
      </c>
      <c r="E140">
        <v>64904.228000000003</v>
      </c>
      <c r="G140">
        <v>5.0000000000000001E-3</v>
      </c>
      <c r="I140" t="s">
        <v>503</v>
      </c>
      <c r="J140" t="s">
        <v>472</v>
      </c>
    </row>
    <row r="141" spans="1:10">
      <c r="A141" t="s">
        <v>493</v>
      </c>
      <c r="B141" t="s">
        <v>489</v>
      </c>
      <c r="C141">
        <v>2</v>
      </c>
      <c r="E141">
        <v>63826.305999999997</v>
      </c>
      <c r="G141">
        <v>2.8000000000000001E-2</v>
      </c>
      <c r="I141">
        <v>14</v>
      </c>
      <c r="J141" t="s">
        <v>472</v>
      </c>
    </row>
    <row r="142" spans="1:10">
      <c r="C142">
        <v>3</v>
      </c>
      <c r="E142">
        <v>63922.222999999998</v>
      </c>
      <c r="G142">
        <v>2.4E-2</v>
      </c>
      <c r="I142" t="s">
        <v>503</v>
      </c>
      <c r="J142" t="s">
        <v>472</v>
      </c>
    </row>
    <row r="143" spans="1:10">
      <c r="C143" t="s">
        <v>523</v>
      </c>
      <c r="E143">
        <v>64128.709000000003</v>
      </c>
      <c r="G143">
        <v>6.0000000000000001E-3</v>
      </c>
      <c r="I143" t="s">
        <v>503</v>
      </c>
      <c r="J143" t="s">
        <v>472</v>
      </c>
    </row>
    <row r="144" spans="1:10">
      <c r="A144" t="s">
        <v>524</v>
      </c>
      <c r="B144" t="s">
        <v>525</v>
      </c>
      <c r="C144">
        <v>6</v>
      </c>
      <c r="E144">
        <v>64141.142999999996</v>
      </c>
      <c r="G144">
        <v>7.0000000000000001E-3</v>
      </c>
      <c r="I144" t="s">
        <v>503</v>
      </c>
      <c r="J144" t="s">
        <v>472</v>
      </c>
    </row>
    <row r="145" spans="1:10">
      <c r="A145" t="s">
        <v>524</v>
      </c>
      <c r="B145" t="s">
        <v>525</v>
      </c>
      <c r="C145">
        <v>5</v>
      </c>
      <c r="E145">
        <v>64267.432999999997</v>
      </c>
      <c r="G145">
        <v>8.9999999999999993E-3</v>
      </c>
      <c r="I145" t="s">
        <v>503</v>
      </c>
      <c r="J145" t="s">
        <v>472</v>
      </c>
    </row>
    <row r="146" spans="1:10">
      <c r="A146" t="s">
        <v>524</v>
      </c>
      <c r="B146" t="s">
        <v>525</v>
      </c>
      <c r="C146">
        <v>4</v>
      </c>
      <c r="E146">
        <v>64312.77</v>
      </c>
      <c r="G146">
        <v>1.7999999999999999E-2</v>
      </c>
      <c r="I146" t="s">
        <v>503</v>
      </c>
      <c r="J146" t="s">
        <v>472</v>
      </c>
    </row>
    <row r="147" spans="1:10">
      <c r="C147">
        <v>2</v>
      </c>
      <c r="E147">
        <v>64182.264999999999</v>
      </c>
      <c r="G147">
        <v>1.2999999999999999E-2</v>
      </c>
      <c r="I147" t="s">
        <v>503</v>
      </c>
      <c r="J147" t="s">
        <v>472</v>
      </c>
    </row>
    <row r="148" spans="1:10">
      <c r="A148" t="s">
        <v>526</v>
      </c>
      <c r="B148" t="s">
        <v>527</v>
      </c>
      <c r="C148">
        <v>7</v>
      </c>
      <c r="E148">
        <v>64222.372000000003</v>
      </c>
      <c r="G148">
        <v>1.6E-2</v>
      </c>
      <c r="I148" t="s">
        <v>503</v>
      </c>
      <c r="J148" t="s">
        <v>472</v>
      </c>
    </row>
    <row r="149" spans="1:10">
      <c r="A149" t="s">
        <v>483</v>
      </c>
      <c r="B149" t="s">
        <v>287</v>
      </c>
      <c r="C149">
        <v>2</v>
      </c>
      <c r="E149">
        <v>64248.945</v>
      </c>
      <c r="G149">
        <v>7.0000000000000001E-3</v>
      </c>
      <c r="I149">
        <v>27</v>
      </c>
      <c r="J149" t="s">
        <v>472</v>
      </c>
    </row>
    <row r="150" spans="1:10">
      <c r="A150" t="s">
        <v>528</v>
      </c>
      <c r="B150" t="s">
        <v>529</v>
      </c>
      <c r="C150">
        <v>6</v>
      </c>
      <c r="E150">
        <v>64330.516000000003</v>
      </c>
      <c r="G150">
        <v>8.9999999999999993E-3</v>
      </c>
      <c r="I150" t="s">
        <v>503</v>
      </c>
      <c r="J150" t="s">
        <v>472</v>
      </c>
    </row>
    <row r="151" spans="1:10">
      <c r="A151" t="s">
        <v>528</v>
      </c>
      <c r="B151" t="s">
        <v>529</v>
      </c>
      <c r="C151">
        <v>5</v>
      </c>
      <c r="E151">
        <v>64379.15</v>
      </c>
      <c r="G151">
        <v>0.01</v>
      </c>
      <c r="I151" t="s">
        <v>503</v>
      </c>
      <c r="J151" t="s">
        <v>472</v>
      </c>
    </row>
    <row r="152" spans="1:10">
      <c r="A152" t="s">
        <v>530</v>
      </c>
      <c r="B152" t="s">
        <v>531</v>
      </c>
      <c r="C152">
        <v>3</v>
      </c>
      <c r="E152">
        <v>64505.826999999997</v>
      </c>
      <c r="G152">
        <v>4.0000000000000001E-3</v>
      </c>
      <c r="I152" t="s">
        <v>503</v>
      </c>
      <c r="J152" t="s">
        <v>472</v>
      </c>
    </row>
    <row r="153" spans="1:10">
      <c r="A153" t="s">
        <v>493</v>
      </c>
      <c r="B153" t="s">
        <v>532</v>
      </c>
      <c r="C153">
        <v>2</v>
      </c>
      <c r="E153">
        <v>64515.64</v>
      </c>
      <c r="G153">
        <v>6.0000000000000001E-3</v>
      </c>
      <c r="I153">
        <v>13</v>
      </c>
      <c r="J153" t="s">
        <v>472</v>
      </c>
    </row>
    <row r="154" spans="1:10">
      <c r="A154" t="s">
        <v>524</v>
      </c>
      <c r="B154" t="s">
        <v>529</v>
      </c>
      <c r="C154">
        <v>4</v>
      </c>
      <c r="E154">
        <v>64668.449000000001</v>
      </c>
      <c r="G154">
        <v>8.0000000000000002E-3</v>
      </c>
      <c r="I154" t="s">
        <v>503</v>
      </c>
      <c r="J154" t="s">
        <v>472</v>
      </c>
    </row>
    <row r="155" spans="1:10">
      <c r="A155" t="s">
        <v>533</v>
      </c>
      <c r="B155" t="s">
        <v>271</v>
      </c>
      <c r="C155">
        <v>3</v>
      </c>
      <c r="E155">
        <v>64675.902999999998</v>
      </c>
      <c r="G155">
        <v>2.5000000000000001E-2</v>
      </c>
      <c r="I155">
        <v>17</v>
      </c>
      <c r="J155" t="s">
        <v>472</v>
      </c>
    </row>
    <row r="156" spans="1:10">
      <c r="A156" t="s">
        <v>534</v>
      </c>
      <c r="B156" t="s">
        <v>266</v>
      </c>
      <c r="C156">
        <v>2</v>
      </c>
      <c r="E156">
        <v>65132.885999999999</v>
      </c>
      <c r="G156">
        <v>1.7000000000000001E-2</v>
      </c>
      <c r="I156">
        <v>47</v>
      </c>
      <c r="J156" t="s">
        <v>472</v>
      </c>
    </row>
    <row r="157" spans="1:10">
      <c r="A157" t="s">
        <v>535</v>
      </c>
      <c r="B157" t="s">
        <v>536</v>
      </c>
      <c r="C157">
        <v>1</v>
      </c>
      <c r="E157">
        <v>65306.79</v>
      </c>
      <c r="G157">
        <v>0.1</v>
      </c>
      <c r="I157" t="s">
        <v>503</v>
      </c>
      <c r="J157" t="s">
        <v>472</v>
      </c>
    </row>
    <row r="158" spans="1:10">
      <c r="A158" t="s">
        <v>534</v>
      </c>
      <c r="B158" t="s">
        <v>511</v>
      </c>
      <c r="C158">
        <v>4</v>
      </c>
      <c r="E158">
        <v>65308.527000000002</v>
      </c>
      <c r="G158">
        <v>0.01</v>
      </c>
      <c r="I158">
        <v>49</v>
      </c>
      <c r="J158" t="s">
        <v>472</v>
      </c>
    </row>
    <row r="159" spans="1:10">
      <c r="A159" t="s">
        <v>534</v>
      </c>
      <c r="B159" t="s">
        <v>511</v>
      </c>
      <c r="C159">
        <v>5</v>
      </c>
      <c r="E159">
        <v>65339.92</v>
      </c>
      <c r="G159">
        <v>0.1</v>
      </c>
      <c r="I159">
        <v>100</v>
      </c>
      <c r="J159" t="s">
        <v>472</v>
      </c>
    </row>
    <row r="160" spans="1:10">
      <c r="A160" t="s">
        <v>535</v>
      </c>
      <c r="B160" t="s">
        <v>537</v>
      </c>
      <c r="C160">
        <v>2</v>
      </c>
      <c r="E160">
        <v>65315.88</v>
      </c>
      <c r="G160">
        <v>0.1</v>
      </c>
      <c r="I160" t="s">
        <v>503</v>
      </c>
      <c r="J160" t="s">
        <v>472</v>
      </c>
    </row>
    <row r="161" spans="1:10">
      <c r="A161" t="s">
        <v>535</v>
      </c>
      <c r="B161" t="s">
        <v>538</v>
      </c>
      <c r="C161">
        <v>6</v>
      </c>
      <c r="E161">
        <v>65318.94</v>
      </c>
      <c r="G161">
        <v>0.1</v>
      </c>
      <c r="I161" t="s">
        <v>503</v>
      </c>
      <c r="J161" t="s">
        <v>472</v>
      </c>
    </row>
    <row r="162" spans="1:10">
      <c r="A162" t="s">
        <v>535</v>
      </c>
      <c r="B162" t="s">
        <v>539</v>
      </c>
      <c r="C162">
        <v>2</v>
      </c>
      <c r="E162">
        <v>65325.48</v>
      </c>
      <c r="G162">
        <v>0.1</v>
      </c>
      <c r="I162" t="s">
        <v>503</v>
      </c>
      <c r="J162" t="s">
        <v>472</v>
      </c>
    </row>
    <row r="163" spans="1:10">
      <c r="A163" t="s">
        <v>535</v>
      </c>
      <c r="B163" t="s">
        <v>540</v>
      </c>
      <c r="C163">
        <v>3</v>
      </c>
      <c r="E163">
        <v>65330.27</v>
      </c>
      <c r="G163">
        <v>0.54</v>
      </c>
      <c r="I163" t="s">
        <v>503</v>
      </c>
      <c r="J163" t="s">
        <v>472</v>
      </c>
    </row>
    <row r="164" spans="1:10">
      <c r="A164" t="s">
        <v>535</v>
      </c>
      <c r="B164" t="s">
        <v>541</v>
      </c>
      <c r="C164">
        <v>1</v>
      </c>
      <c r="E164">
        <v>65332.42</v>
      </c>
      <c r="G164">
        <v>0.1</v>
      </c>
      <c r="I164" t="s">
        <v>503</v>
      </c>
      <c r="J164" t="s">
        <v>472</v>
      </c>
    </row>
    <row r="165" spans="1:10">
      <c r="A165" t="s">
        <v>535</v>
      </c>
      <c r="B165" t="s">
        <v>542</v>
      </c>
      <c r="C165">
        <v>4</v>
      </c>
      <c r="E165">
        <v>65333.24</v>
      </c>
      <c r="G165">
        <v>0.1</v>
      </c>
      <c r="I165" t="s">
        <v>503</v>
      </c>
      <c r="J165" t="s">
        <v>472</v>
      </c>
    </row>
    <row r="166" spans="1:10">
      <c r="A166" t="s">
        <v>535</v>
      </c>
      <c r="B166" t="s">
        <v>543</v>
      </c>
      <c r="C166">
        <v>3</v>
      </c>
      <c r="E166">
        <v>65336.480000000003</v>
      </c>
      <c r="G166">
        <v>0.1</v>
      </c>
      <c r="I166" t="s">
        <v>503</v>
      </c>
      <c r="J166" t="s">
        <v>472</v>
      </c>
    </row>
    <row r="167" spans="1:10">
      <c r="A167" t="s">
        <v>535</v>
      </c>
      <c r="B167" t="s">
        <v>544</v>
      </c>
      <c r="C167">
        <v>4</v>
      </c>
      <c r="E167">
        <v>65339.65</v>
      </c>
      <c r="G167">
        <v>0.1</v>
      </c>
      <c r="I167" t="s">
        <v>503</v>
      </c>
      <c r="J167" t="s">
        <v>472</v>
      </c>
    </row>
    <row r="168" spans="1:10">
      <c r="A168" t="s">
        <v>535</v>
      </c>
      <c r="B168" t="s">
        <v>545</v>
      </c>
      <c r="C168">
        <v>5</v>
      </c>
      <c r="E168">
        <v>65341.91</v>
      </c>
      <c r="G168">
        <v>0.1</v>
      </c>
      <c r="I168" t="s">
        <v>503</v>
      </c>
      <c r="J168" t="s">
        <v>472</v>
      </c>
    </row>
    <row r="169" spans="1:10">
      <c r="A169" t="s">
        <v>534</v>
      </c>
      <c r="B169" t="s">
        <v>254</v>
      </c>
      <c r="C169">
        <v>3</v>
      </c>
      <c r="E169">
        <v>65346.51</v>
      </c>
      <c r="G169">
        <v>0.1</v>
      </c>
      <c r="I169">
        <v>48</v>
      </c>
      <c r="J169" t="s">
        <v>472</v>
      </c>
    </row>
    <row r="170" spans="1:10">
      <c r="A170" t="s">
        <v>534</v>
      </c>
      <c r="B170" t="s">
        <v>254</v>
      </c>
      <c r="C170">
        <v>4</v>
      </c>
      <c r="E170">
        <v>65381.37</v>
      </c>
      <c r="G170">
        <v>0.1</v>
      </c>
      <c r="I170">
        <v>83</v>
      </c>
      <c r="J170" t="s">
        <v>472</v>
      </c>
    </row>
    <row r="171" spans="1:10">
      <c r="A171" t="s">
        <v>534</v>
      </c>
      <c r="B171" t="s">
        <v>510</v>
      </c>
      <c r="C171">
        <v>1</v>
      </c>
      <c r="E171">
        <v>65361.614000000001</v>
      </c>
      <c r="G171">
        <v>1.6E-2</v>
      </c>
      <c r="I171">
        <v>59</v>
      </c>
      <c r="J171" t="s">
        <v>472</v>
      </c>
    </row>
    <row r="172" spans="1:10">
      <c r="A172" t="s">
        <v>534</v>
      </c>
      <c r="B172" t="s">
        <v>257</v>
      </c>
      <c r="C172">
        <v>3</v>
      </c>
      <c r="E172">
        <v>65387.027999999998</v>
      </c>
      <c r="G172">
        <v>8.9999999999999993E-3</v>
      </c>
      <c r="I172">
        <v>63</v>
      </c>
      <c r="J172" t="s">
        <v>472</v>
      </c>
    </row>
    <row r="173" spans="1:10">
      <c r="A173" t="s">
        <v>534</v>
      </c>
      <c r="B173" t="s">
        <v>259</v>
      </c>
      <c r="C173">
        <v>2</v>
      </c>
      <c r="E173">
        <v>65395.722999999998</v>
      </c>
      <c r="G173">
        <v>1.7000000000000001E-2</v>
      </c>
      <c r="I173">
        <v>58</v>
      </c>
      <c r="J173" t="s">
        <v>472</v>
      </c>
    </row>
    <row r="174" spans="1:10">
      <c r="B174" t="s">
        <v>546</v>
      </c>
      <c r="C174">
        <v>3</v>
      </c>
      <c r="E174">
        <v>65510.2</v>
      </c>
      <c r="G174">
        <v>0.05</v>
      </c>
      <c r="I174" t="s">
        <v>503</v>
      </c>
      <c r="J174" t="s">
        <v>472</v>
      </c>
    </row>
    <row r="175" spans="1:10">
      <c r="B175" t="s">
        <v>547</v>
      </c>
      <c r="C175" t="s">
        <v>548</v>
      </c>
      <c r="E175">
        <v>65697.713000000003</v>
      </c>
      <c r="G175">
        <v>3.5999999999999997E-2</v>
      </c>
      <c r="I175" t="s">
        <v>503</v>
      </c>
      <c r="J175" t="s">
        <v>472</v>
      </c>
    </row>
    <row r="176" spans="1:10">
      <c r="B176" t="s">
        <v>549</v>
      </c>
      <c r="C176">
        <v>1</v>
      </c>
      <c r="E176">
        <v>65850.111000000004</v>
      </c>
      <c r="G176">
        <v>6.0000000000000001E-3</v>
      </c>
      <c r="I176" t="s">
        <v>503</v>
      </c>
      <c r="J176" t="s">
        <v>472</v>
      </c>
    </row>
    <row r="177" spans="1:10">
      <c r="B177" t="s">
        <v>550</v>
      </c>
      <c r="C177">
        <v>4</v>
      </c>
      <c r="E177">
        <v>65852.516699999993</v>
      </c>
      <c r="G177">
        <v>2.8999999999999998E-3</v>
      </c>
      <c r="I177" t="s">
        <v>503</v>
      </c>
      <c r="J177" t="s">
        <v>472</v>
      </c>
    </row>
    <row r="178" spans="1:10">
      <c r="B178" t="s">
        <v>551</v>
      </c>
      <c r="C178">
        <v>2</v>
      </c>
      <c r="E178">
        <v>66198.835000000006</v>
      </c>
      <c r="G178">
        <v>4.0000000000000001E-3</v>
      </c>
      <c r="I178" t="s">
        <v>503</v>
      </c>
      <c r="J178" t="s">
        <v>472</v>
      </c>
    </row>
    <row r="179" spans="1:10">
      <c r="B179" t="s">
        <v>552</v>
      </c>
      <c r="C179">
        <v>1</v>
      </c>
      <c r="E179">
        <v>66432.53</v>
      </c>
      <c r="G179">
        <v>0.03</v>
      </c>
      <c r="I179" t="s">
        <v>503</v>
      </c>
      <c r="J179" t="s">
        <v>472</v>
      </c>
    </row>
    <row r="180" spans="1:10">
      <c r="A180" t="s">
        <v>505</v>
      </c>
      <c r="B180" t="s">
        <v>553</v>
      </c>
      <c r="C180">
        <v>2</v>
      </c>
      <c r="E180">
        <v>66927.77</v>
      </c>
      <c r="G180">
        <v>7.0000000000000007E-2</v>
      </c>
      <c r="I180" t="s">
        <v>503</v>
      </c>
      <c r="J180" t="s">
        <v>472</v>
      </c>
    </row>
    <row r="181" spans="1:10">
      <c r="A181" t="s">
        <v>554</v>
      </c>
      <c r="B181" t="s">
        <v>502</v>
      </c>
      <c r="C181">
        <v>5</v>
      </c>
      <c r="E181">
        <v>66967.944000000003</v>
      </c>
      <c r="G181">
        <v>1.2E-2</v>
      </c>
      <c r="I181" t="s">
        <v>503</v>
      </c>
      <c r="J181" t="s">
        <v>472</v>
      </c>
    </row>
    <row r="182" spans="1:10">
      <c r="A182" t="s">
        <v>554</v>
      </c>
      <c r="B182" t="s">
        <v>502</v>
      </c>
      <c r="C182">
        <v>4</v>
      </c>
      <c r="E182">
        <v>67342.649999999994</v>
      </c>
      <c r="G182">
        <v>0.1</v>
      </c>
      <c r="I182" t="s">
        <v>503</v>
      </c>
      <c r="J182" t="s">
        <v>472</v>
      </c>
    </row>
    <row r="183" spans="1:10">
      <c r="A183" t="s">
        <v>505</v>
      </c>
      <c r="B183" t="s">
        <v>555</v>
      </c>
      <c r="C183">
        <v>3</v>
      </c>
      <c r="E183">
        <v>67121.570000000007</v>
      </c>
      <c r="G183">
        <v>0.03</v>
      </c>
      <c r="I183" t="s">
        <v>503</v>
      </c>
      <c r="J183" t="s">
        <v>472</v>
      </c>
    </row>
    <row r="184" spans="1:10">
      <c r="A184" t="s">
        <v>556</v>
      </c>
      <c r="B184" t="s">
        <v>557</v>
      </c>
      <c r="C184" t="s">
        <v>558</v>
      </c>
      <c r="E184">
        <v>67303.63</v>
      </c>
      <c r="G184">
        <v>0.1</v>
      </c>
      <c r="I184" t="s">
        <v>503</v>
      </c>
      <c r="J184" t="s">
        <v>472</v>
      </c>
    </row>
    <row r="185" spans="1:10">
      <c r="A185" t="s">
        <v>556</v>
      </c>
      <c r="B185" t="s">
        <v>559</v>
      </c>
      <c r="C185" t="s">
        <v>523</v>
      </c>
      <c r="E185">
        <v>67413.623200000002</v>
      </c>
      <c r="G185">
        <v>3.8E-3</v>
      </c>
      <c r="I185" t="s">
        <v>503</v>
      </c>
      <c r="J185" t="s">
        <v>472</v>
      </c>
    </row>
    <row r="186" spans="1:10">
      <c r="A186" t="s">
        <v>508</v>
      </c>
      <c r="B186" t="s">
        <v>43</v>
      </c>
      <c r="C186">
        <v>4</v>
      </c>
      <c r="E186">
        <v>68121.567999999999</v>
      </c>
      <c r="G186">
        <v>1.2999999999999999E-2</v>
      </c>
      <c r="I186">
        <v>50</v>
      </c>
      <c r="J186" t="s">
        <v>472</v>
      </c>
    </row>
    <row r="187" spans="1:10">
      <c r="A187" t="s">
        <v>508</v>
      </c>
      <c r="B187" t="s">
        <v>39</v>
      </c>
      <c r="C187">
        <v>2</v>
      </c>
      <c r="E187">
        <v>68169.426000000007</v>
      </c>
      <c r="G187">
        <v>1.4E-2</v>
      </c>
      <c r="I187">
        <v>41</v>
      </c>
      <c r="J187" t="s">
        <v>472</v>
      </c>
    </row>
    <row r="188" spans="1:10">
      <c r="A188" t="s">
        <v>556</v>
      </c>
      <c r="B188" t="s">
        <v>560</v>
      </c>
      <c r="C188">
        <v>5</v>
      </c>
      <c r="E188">
        <v>68266.880000000005</v>
      </c>
      <c r="G188">
        <v>0.04</v>
      </c>
      <c r="I188" t="s">
        <v>503</v>
      </c>
      <c r="J188" t="s">
        <v>472</v>
      </c>
    </row>
    <row r="189" spans="1:10">
      <c r="C189">
        <v>2</v>
      </c>
      <c r="E189">
        <v>68275.285999999993</v>
      </c>
      <c r="G189">
        <v>8.9999999999999993E-3</v>
      </c>
      <c r="I189" t="s">
        <v>503</v>
      </c>
      <c r="J189" t="s">
        <v>472</v>
      </c>
    </row>
    <row r="190" spans="1:10">
      <c r="A190" t="s">
        <v>556</v>
      </c>
      <c r="B190" t="s">
        <v>561</v>
      </c>
      <c r="C190" t="s">
        <v>558</v>
      </c>
      <c r="E190">
        <v>68343.399999999994</v>
      </c>
      <c r="G190">
        <v>0.5</v>
      </c>
      <c r="I190" t="s">
        <v>503</v>
      </c>
      <c r="J190" t="s">
        <v>472</v>
      </c>
    </row>
    <row r="191" spans="1:10">
      <c r="B191" t="s">
        <v>562</v>
      </c>
      <c r="C191">
        <v>2</v>
      </c>
      <c r="E191">
        <v>68606.61</v>
      </c>
      <c r="G191">
        <v>0.05</v>
      </c>
      <c r="I191" t="s">
        <v>503</v>
      </c>
      <c r="J191" t="s">
        <v>472</v>
      </c>
    </row>
    <row r="192" spans="1:10">
      <c r="B192" t="s">
        <v>563</v>
      </c>
      <c r="C192">
        <v>3</v>
      </c>
      <c r="E192">
        <v>68657.42</v>
      </c>
      <c r="G192">
        <v>0.04</v>
      </c>
      <c r="I192" t="s">
        <v>503</v>
      </c>
      <c r="J192" t="s">
        <v>472</v>
      </c>
    </row>
    <row r="193" spans="1:10">
      <c r="B193" t="s">
        <v>564</v>
      </c>
      <c r="C193">
        <v>4</v>
      </c>
      <c r="E193">
        <v>68703.441999999995</v>
      </c>
      <c r="G193">
        <v>0.01</v>
      </c>
      <c r="I193" t="s">
        <v>503</v>
      </c>
      <c r="J193" t="s">
        <v>472</v>
      </c>
    </row>
    <row r="194" spans="1:10">
      <c r="A194" t="s">
        <v>565</v>
      </c>
      <c r="B194" t="s">
        <v>566</v>
      </c>
      <c r="C194">
        <v>6</v>
      </c>
      <c r="E194">
        <v>68716.316000000006</v>
      </c>
      <c r="G194">
        <v>1.9E-2</v>
      </c>
      <c r="I194" t="s">
        <v>503</v>
      </c>
      <c r="J194" t="s">
        <v>472</v>
      </c>
    </row>
    <row r="195" spans="1:10">
      <c r="B195" t="s">
        <v>567</v>
      </c>
      <c r="C195">
        <v>4</v>
      </c>
      <c r="E195">
        <v>68758.995999999999</v>
      </c>
      <c r="G195">
        <v>1.2E-2</v>
      </c>
      <c r="I195" t="s">
        <v>503</v>
      </c>
      <c r="J195" t="s">
        <v>472</v>
      </c>
    </row>
    <row r="196" spans="1:10">
      <c r="C196">
        <v>5</v>
      </c>
      <c r="E196">
        <v>68831.115999999995</v>
      </c>
      <c r="G196">
        <v>1.7000000000000001E-2</v>
      </c>
      <c r="I196" t="s">
        <v>503</v>
      </c>
      <c r="J196" t="s">
        <v>472</v>
      </c>
    </row>
    <row r="197" spans="1:10">
      <c r="B197" t="s">
        <v>568</v>
      </c>
      <c r="C197">
        <v>4</v>
      </c>
      <c r="E197">
        <v>68912.201000000001</v>
      </c>
      <c r="G197">
        <v>8.9999999999999993E-3</v>
      </c>
      <c r="I197" t="s">
        <v>503</v>
      </c>
      <c r="J197" t="s">
        <v>472</v>
      </c>
    </row>
    <row r="198" spans="1:10">
      <c r="C198">
        <v>3</v>
      </c>
      <c r="E198">
        <v>68947.457999999999</v>
      </c>
      <c r="G198">
        <v>8.9999999999999993E-3</v>
      </c>
      <c r="I198" t="s">
        <v>503</v>
      </c>
      <c r="J198" t="s">
        <v>472</v>
      </c>
    </row>
    <row r="199" spans="1:10">
      <c r="A199" t="s">
        <v>569</v>
      </c>
      <c r="B199" t="s">
        <v>291</v>
      </c>
      <c r="C199">
        <v>7</v>
      </c>
      <c r="E199">
        <v>70087.92</v>
      </c>
      <c r="G199">
        <v>0.1</v>
      </c>
      <c r="I199" t="s">
        <v>503</v>
      </c>
      <c r="J199" t="s">
        <v>472</v>
      </c>
    </row>
    <row r="200" spans="1:10">
      <c r="A200" t="s">
        <v>569</v>
      </c>
      <c r="B200" t="s">
        <v>291</v>
      </c>
      <c r="C200" t="s">
        <v>570</v>
      </c>
      <c r="E200">
        <v>70088.63</v>
      </c>
      <c r="G200">
        <v>0.1</v>
      </c>
      <c r="I200" t="s">
        <v>503</v>
      </c>
      <c r="J200" t="s">
        <v>472</v>
      </c>
    </row>
    <row r="201" spans="1:10">
      <c r="A201" t="s">
        <v>569</v>
      </c>
      <c r="B201" t="s">
        <v>291</v>
      </c>
      <c r="C201">
        <v>6</v>
      </c>
      <c r="E201">
        <v>70095.509999999995</v>
      </c>
      <c r="G201">
        <v>0.1</v>
      </c>
      <c r="I201" t="s">
        <v>503</v>
      </c>
      <c r="J201" t="s">
        <v>472</v>
      </c>
    </row>
    <row r="202" spans="1:10">
      <c r="A202" t="s">
        <v>569</v>
      </c>
      <c r="B202" t="s">
        <v>291</v>
      </c>
      <c r="C202">
        <v>5</v>
      </c>
      <c r="E202">
        <v>70099.56</v>
      </c>
      <c r="G202">
        <v>0.1</v>
      </c>
      <c r="I202" t="s">
        <v>503</v>
      </c>
      <c r="J202" t="s">
        <v>472</v>
      </c>
    </row>
    <row r="203" spans="1:10">
      <c r="A203" t="s">
        <v>571</v>
      </c>
      <c r="B203" t="s">
        <v>202</v>
      </c>
      <c r="C203" t="s">
        <v>203</v>
      </c>
      <c r="E203">
        <v>72257.8</v>
      </c>
      <c r="G203">
        <v>0.8</v>
      </c>
      <c r="I203" t="s">
        <v>503</v>
      </c>
      <c r="J203" t="s">
        <v>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1746-B836-49F5-AA0F-B99E48891D27}">
  <dimension ref="A1:I63"/>
  <sheetViews>
    <sheetView workbookViewId="0">
      <selection activeCell="H1" sqref="H1:I1"/>
    </sheetView>
  </sheetViews>
  <sheetFormatPr defaultRowHeight="15"/>
  <cols>
    <col min="1" max="1" width="24.140625" bestFit="1" customWidth="1"/>
    <col min="5" max="5" width="11.85546875" bestFit="1" customWidth="1"/>
    <col min="7" max="7" width="17.7109375" bestFit="1" customWidth="1"/>
    <col min="8" max="8" width="6.28515625" bestFit="1" customWidth="1"/>
    <col min="9" max="9" width="10.140625" bestFit="1" customWidth="1"/>
  </cols>
  <sheetData>
    <row r="1" spans="1:9">
      <c r="A1" s="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s="1" t="s">
        <v>205</v>
      </c>
      <c r="B2" t="s">
        <v>206</v>
      </c>
      <c r="C2" s="2" t="s">
        <v>248</v>
      </c>
      <c r="E2">
        <v>0</v>
      </c>
      <c r="H2">
        <v>1.9970000000000001</v>
      </c>
      <c r="I2" t="s">
        <v>207</v>
      </c>
    </row>
    <row r="3" spans="1:9">
      <c r="A3" s="1" t="s">
        <v>208</v>
      </c>
      <c r="B3" t="s">
        <v>209</v>
      </c>
      <c r="C3" s="2" t="s">
        <v>249</v>
      </c>
      <c r="E3">
        <v>9161.1769999999997</v>
      </c>
      <c r="H3">
        <v>1.1919999999999999</v>
      </c>
      <c r="I3" t="s">
        <v>207</v>
      </c>
    </row>
    <row r="4" spans="1:9">
      <c r="A4" s="1" t="s">
        <v>208</v>
      </c>
      <c r="B4" t="s">
        <v>209</v>
      </c>
      <c r="C4" s="2" t="s">
        <v>250</v>
      </c>
      <c r="E4">
        <v>21435.190999999999</v>
      </c>
      <c r="H4">
        <v>0.80400000000000005</v>
      </c>
      <c r="I4" t="s">
        <v>207</v>
      </c>
    </row>
    <row r="5" spans="1:9">
      <c r="A5" s="1" t="s">
        <v>210</v>
      </c>
      <c r="B5" t="s">
        <v>211</v>
      </c>
      <c r="C5" s="2" t="s">
        <v>248</v>
      </c>
      <c r="E5">
        <v>37358.991000000002</v>
      </c>
      <c r="H5">
        <v>0.66100000000000003</v>
      </c>
      <c r="I5" t="s">
        <v>207</v>
      </c>
    </row>
    <row r="6" spans="1:9">
      <c r="A6" s="1" t="s">
        <v>210</v>
      </c>
      <c r="B6" t="s">
        <v>211</v>
      </c>
      <c r="C6" s="2" t="s">
        <v>250</v>
      </c>
      <c r="E6">
        <v>41174.612999999998</v>
      </c>
      <c r="H6">
        <v>1.3340000000000001</v>
      </c>
      <c r="I6" t="s">
        <v>207</v>
      </c>
    </row>
    <row r="7" spans="1:9">
      <c r="A7" s="1" t="s">
        <v>212</v>
      </c>
      <c r="B7" t="s">
        <v>213</v>
      </c>
      <c r="C7" s="2" t="s">
        <v>249</v>
      </c>
      <c r="E7">
        <v>42163.53</v>
      </c>
      <c r="H7">
        <v>1.532</v>
      </c>
      <c r="I7" t="s">
        <v>207</v>
      </c>
    </row>
    <row r="8" spans="1:9">
      <c r="A8" s="1" t="s">
        <v>212</v>
      </c>
      <c r="B8" t="s">
        <v>214</v>
      </c>
      <c r="C8" s="2" t="s">
        <v>251</v>
      </c>
      <c r="E8">
        <v>45537.195</v>
      </c>
      <c r="H8">
        <v>1.258</v>
      </c>
      <c r="I8" t="s">
        <v>207</v>
      </c>
    </row>
    <row r="9" spans="1:9">
      <c r="A9" s="1" t="s">
        <v>212</v>
      </c>
      <c r="B9" t="s">
        <v>214</v>
      </c>
      <c r="C9" s="2" t="s">
        <v>249</v>
      </c>
      <c r="E9">
        <v>46174.978999999999</v>
      </c>
      <c r="H9">
        <v>1.0109999999999999</v>
      </c>
      <c r="I9" t="s">
        <v>207</v>
      </c>
    </row>
    <row r="10" spans="1:9">
      <c r="A10" s="1" t="s">
        <v>215</v>
      </c>
      <c r="B10" t="s">
        <v>216</v>
      </c>
      <c r="C10" s="2" t="s">
        <v>249</v>
      </c>
      <c r="E10">
        <v>46379</v>
      </c>
      <c r="I10" t="s">
        <v>12</v>
      </c>
    </row>
    <row r="11" spans="1:9">
      <c r="A11" s="1" t="s">
        <v>215</v>
      </c>
      <c r="B11" t="s">
        <v>216</v>
      </c>
      <c r="C11" s="2" t="s">
        <v>251</v>
      </c>
      <c r="E11">
        <v>51028.894</v>
      </c>
      <c r="H11">
        <v>1.3720000000000001</v>
      </c>
      <c r="I11" t="s">
        <v>207</v>
      </c>
    </row>
    <row r="12" spans="1:9">
      <c r="A12" s="1" t="s">
        <v>215</v>
      </c>
      <c r="B12" t="s">
        <v>213</v>
      </c>
      <c r="C12" s="2" t="s">
        <v>250</v>
      </c>
      <c r="E12">
        <v>47007.432999999997</v>
      </c>
      <c r="H12">
        <v>1.4219999999999999</v>
      </c>
      <c r="I12" t="s">
        <v>207</v>
      </c>
    </row>
    <row r="13" spans="1:9">
      <c r="A13" s="1" t="s">
        <v>215</v>
      </c>
      <c r="B13" t="s">
        <v>213</v>
      </c>
      <c r="C13" s="2" t="s">
        <v>248</v>
      </c>
      <c r="E13">
        <v>53196.32</v>
      </c>
      <c r="I13" t="s">
        <v>217</v>
      </c>
    </row>
    <row r="14" spans="1:9">
      <c r="A14" s="1" t="s">
        <v>215</v>
      </c>
      <c r="B14" t="s">
        <v>214</v>
      </c>
      <c r="C14" s="2" t="s">
        <v>252</v>
      </c>
      <c r="E14">
        <v>48697.146999999997</v>
      </c>
      <c r="I14" t="s">
        <v>207</v>
      </c>
    </row>
    <row r="15" spans="1:9">
      <c r="A15" s="1" t="s">
        <v>215</v>
      </c>
      <c r="B15" t="s">
        <v>214</v>
      </c>
      <c r="C15" s="2" t="s">
        <v>250</v>
      </c>
      <c r="E15">
        <v>51485</v>
      </c>
      <c r="I15" t="s">
        <v>12</v>
      </c>
    </row>
    <row r="16" spans="1:9">
      <c r="A16" s="1" t="s">
        <v>212</v>
      </c>
      <c r="B16" t="s">
        <v>218</v>
      </c>
      <c r="C16" s="2" t="s">
        <v>250</v>
      </c>
      <c r="E16">
        <v>51231.53</v>
      </c>
      <c r="H16">
        <v>1.0640000000000001</v>
      </c>
      <c r="I16" t="s">
        <v>207</v>
      </c>
    </row>
    <row r="17" spans="1:9">
      <c r="A17" s="1" t="s">
        <v>215</v>
      </c>
      <c r="B17" t="s">
        <v>218</v>
      </c>
      <c r="C17" s="2" t="s">
        <v>249</v>
      </c>
      <c r="E17">
        <v>51653.9</v>
      </c>
      <c r="H17">
        <v>1.222</v>
      </c>
      <c r="I17" t="s">
        <v>12</v>
      </c>
    </row>
    <row r="18" spans="1:9">
      <c r="A18" s="1" t="s">
        <v>215</v>
      </c>
      <c r="B18" t="s">
        <v>219</v>
      </c>
      <c r="C18" s="2" t="s">
        <v>251</v>
      </c>
      <c r="E18">
        <v>52802.1</v>
      </c>
      <c r="I18" t="s">
        <v>12</v>
      </c>
    </row>
    <row r="19" spans="1:9">
      <c r="A19" s="1" t="s">
        <v>220</v>
      </c>
      <c r="B19" t="s">
        <v>206</v>
      </c>
      <c r="C19" s="2" t="s">
        <v>248</v>
      </c>
      <c r="E19">
        <v>54485.235000000001</v>
      </c>
      <c r="H19">
        <v>1.9950000000000001</v>
      </c>
      <c r="I19" t="s">
        <v>207</v>
      </c>
    </row>
    <row r="20" spans="1:9">
      <c r="A20" s="1" t="s">
        <v>221</v>
      </c>
      <c r="B20" t="s">
        <v>216</v>
      </c>
      <c r="C20" s="2" t="s">
        <v>248</v>
      </c>
      <c r="E20">
        <v>55732.5</v>
      </c>
      <c r="I20" t="s">
        <v>12</v>
      </c>
    </row>
    <row r="21" spans="1:9">
      <c r="A21" s="1" t="s">
        <v>221</v>
      </c>
      <c r="B21" t="s">
        <v>216</v>
      </c>
      <c r="C21" s="2" t="s">
        <v>250</v>
      </c>
      <c r="E21">
        <v>56105.748</v>
      </c>
      <c r="H21">
        <v>1.1599999999999999</v>
      </c>
      <c r="I21" t="s">
        <v>207</v>
      </c>
    </row>
    <row r="22" spans="1:9">
      <c r="A22" s="1" t="s">
        <v>221</v>
      </c>
      <c r="B22" t="s">
        <v>219</v>
      </c>
      <c r="C22" s="2" t="s">
        <v>249</v>
      </c>
      <c r="E22">
        <v>58616.764000000003</v>
      </c>
      <c r="H22">
        <v>0.98399999999999999</v>
      </c>
      <c r="I22" t="s">
        <v>207</v>
      </c>
    </row>
    <row r="23" spans="1:9">
      <c r="A23" s="1" t="s">
        <v>221</v>
      </c>
      <c r="B23" t="s">
        <v>211</v>
      </c>
      <c r="C23" s="2" t="s">
        <v>250</v>
      </c>
      <c r="E23">
        <v>58845.413999999997</v>
      </c>
      <c r="I23" t="s">
        <v>207</v>
      </c>
    </row>
    <row r="24" spans="1:9">
      <c r="A24" s="1" t="s">
        <v>222</v>
      </c>
      <c r="B24" t="s">
        <v>219</v>
      </c>
      <c r="C24" s="2" t="s">
        <v>249</v>
      </c>
      <c r="E24">
        <v>59713.2</v>
      </c>
      <c r="I24" t="s">
        <v>12</v>
      </c>
    </row>
    <row r="25" spans="1:9">
      <c r="A25" s="1" t="s">
        <v>223</v>
      </c>
      <c r="B25" t="s">
        <v>211</v>
      </c>
      <c r="C25" s="2" t="s">
        <v>248</v>
      </c>
      <c r="E25">
        <v>60032.85</v>
      </c>
      <c r="I25" t="s">
        <v>217</v>
      </c>
    </row>
    <row r="26" spans="1:9">
      <c r="A26" s="1" t="s">
        <v>223</v>
      </c>
      <c r="B26" t="s">
        <v>211</v>
      </c>
      <c r="C26" s="2" t="s">
        <v>250</v>
      </c>
      <c r="E26">
        <v>60728.49</v>
      </c>
      <c r="H26" t="s">
        <v>224</v>
      </c>
      <c r="I26" t="s">
        <v>217</v>
      </c>
    </row>
    <row r="27" spans="1:9">
      <c r="A27" s="1" t="s">
        <v>222</v>
      </c>
      <c r="B27" t="s">
        <v>218</v>
      </c>
      <c r="C27" s="2" t="s">
        <v>249</v>
      </c>
      <c r="E27">
        <v>61255.1</v>
      </c>
      <c r="H27">
        <v>1.3</v>
      </c>
      <c r="I27" t="s">
        <v>12</v>
      </c>
    </row>
    <row r="28" spans="1:9">
      <c r="A28" s="1" t="s">
        <v>222</v>
      </c>
      <c r="B28" t="s">
        <v>218</v>
      </c>
      <c r="C28" s="2" t="s">
        <v>250</v>
      </c>
      <c r="E28">
        <v>61563.3</v>
      </c>
      <c r="I28" t="s">
        <v>12</v>
      </c>
    </row>
    <row r="29" spans="1:9">
      <c r="A29" s="1" t="s">
        <v>225</v>
      </c>
      <c r="B29" t="s">
        <v>209</v>
      </c>
      <c r="C29" s="2" t="s">
        <v>250</v>
      </c>
      <c r="E29">
        <v>61951.6</v>
      </c>
      <c r="H29">
        <v>0.78700000000000003</v>
      </c>
      <c r="I29" t="s">
        <v>12</v>
      </c>
    </row>
    <row r="30" spans="1:9">
      <c r="A30" s="1" t="s">
        <v>225</v>
      </c>
      <c r="B30" t="s">
        <v>209</v>
      </c>
      <c r="C30" s="2" t="s">
        <v>249</v>
      </c>
      <c r="E30">
        <v>62033.7</v>
      </c>
      <c r="H30">
        <v>1.1930000000000001</v>
      </c>
      <c r="I30" t="s">
        <v>12</v>
      </c>
    </row>
    <row r="31" spans="1:9">
      <c r="A31" s="1" t="s">
        <v>222</v>
      </c>
      <c r="B31" t="s">
        <v>211</v>
      </c>
      <c r="C31" s="2" t="s">
        <v>250</v>
      </c>
      <c r="E31">
        <v>63005.1</v>
      </c>
      <c r="I31" t="s">
        <v>12</v>
      </c>
    </row>
    <row r="32" spans="1:9">
      <c r="A32" s="1" t="s">
        <v>226</v>
      </c>
      <c r="B32" t="s">
        <v>206</v>
      </c>
      <c r="C32" s="2" t="s">
        <v>248</v>
      </c>
      <c r="E32">
        <v>64742.400000000001</v>
      </c>
      <c r="H32">
        <v>2.0099999999999998</v>
      </c>
      <c r="I32" t="s">
        <v>12</v>
      </c>
    </row>
    <row r="33" spans="1:9">
      <c r="A33" s="1" t="s">
        <v>227</v>
      </c>
      <c r="B33" t="s">
        <v>211</v>
      </c>
      <c r="C33" s="2" t="s">
        <v>248</v>
      </c>
      <c r="E33">
        <v>66605.3</v>
      </c>
      <c r="I33" t="s">
        <v>12</v>
      </c>
    </row>
    <row r="34" spans="1:9">
      <c r="A34" s="1" t="s">
        <v>227</v>
      </c>
      <c r="B34" t="s">
        <v>211</v>
      </c>
      <c r="C34" s="2" t="s">
        <v>250</v>
      </c>
      <c r="E34">
        <v>66910.3</v>
      </c>
      <c r="I34" t="s">
        <v>12</v>
      </c>
    </row>
    <row r="35" spans="1:9">
      <c r="A35" s="1" t="s">
        <v>228</v>
      </c>
      <c r="B35" t="s">
        <v>209</v>
      </c>
      <c r="C35" s="2" t="s">
        <v>250</v>
      </c>
      <c r="E35">
        <v>67469.399999999994</v>
      </c>
      <c r="I35" t="s">
        <v>12</v>
      </c>
    </row>
    <row r="36" spans="1:9">
      <c r="A36" s="1" t="s">
        <v>228</v>
      </c>
      <c r="B36" t="s">
        <v>209</v>
      </c>
      <c r="C36" s="2" t="s">
        <v>249</v>
      </c>
      <c r="E36">
        <v>67510.7</v>
      </c>
      <c r="I36" t="s">
        <v>12</v>
      </c>
    </row>
    <row r="37" spans="1:9">
      <c r="A37" s="1" t="s">
        <v>229</v>
      </c>
      <c r="B37" t="s">
        <v>219</v>
      </c>
      <c r="C37" s="2" t="s">
        <v>251</v>
      </c>
      <c r="E37">
        <v>67485.3</v>
      </c>
      <c r="I37" t="s">
        <v>12</v>
      </c>
    </row>
    <row r="38" spans="1:9">
      <c r="A38" s="1" t="s">
        <v>229</v>
      </c>
      <c r="B38" t="s">
        <v>219</v>
      </c>
      <c r="C38" s="2" t="s">
        <v>249</v>
      </c>
      <c r="E38">
        <v>67490</v>
      </c>
      <c r="I38" t="s">
        <v>12</v>
      </c>
    </row>
    <row r="39" spans="1:9">
      <c r="A39" s="1" t="s">
        <v>230</v>
      </c>
      <c r="B39" t="s">
        <v>231</v>
      </c>
      <c r="C39" s="2" t="s">
        <v>251</v>
      </c>
      <c r="E39">
        <v>67811.5</v>
      </c>
      <c r="H39">
        <v>1.423</v>
      </c>
      <c r="I39" t="s">
        <v>12</v>
      </c>
    </row>
    <row r="40" spans="1:9">
      <c r="A40" s="1" t="s">
        <v>230</v>
      </c>
      <c r="B40" t="s">
        <v>231</v>
      </c>
      <c r="C40" s="2" t="s">
        <v>249</v>
      </c>
      <c r="E40">
        <v>68705.100000000006</v>
      </c>
      <c r="H40">
        <v>1.27</v>
      </c>
      <c r="I40" t="s">
        <v>12</v>
      </c>
    </row>
    <row r="41" spans="1:9">
      <c r="A41" s="1" t="s">
        <v>232</v>
      </c>
      <c r="B41" t="s">
        <v>206</v>
      </c>
      <c r="C41" s="2" t="s">
        <v>248</v>
      </c>
      <c r="E41">
        <v>68680.5</v>
      </c>
      <c r="I41" t="s">
        <v>12</v>
      </c>
    </row>
    <row r="42" spans="1:9">
      <c r="A42" s="1" t="s">
        <v>233</v>
      </c>
      <c r="B42" t="s">
        <v>209</v>
      </c>
      <c r="C42" s="2" t="s">
        <v>250</v>
      </c>
      <c r="E42">
        <v>69971.3</v>
      </c>
      <c r="I42" t="s">
        <v>12</v>
      </c>
    </row>
    <row r="43" spans="1:9">
      <c r="A43" s="1" t="s">
        <v>233</v>
      </c>
      <c r="B43" t="s">
        <v>209</v>
      </c>
      <c r="C43" s="2" t="s">
        <v>249</v>
      </c>
      <c r="E43">
        <v>70007.600000000006</v>
      </c>
      <c r="I43" t="s">
        <v>12</v>
      </c>
    </row>
    <row r="44" spans="1:9">
      <c r="A44" s="1" t="s">
        <v>234</v>
      </c>
      <c r="B44" t="s">
        <v>206</v>
      </c>
      <c r="C44" s="2" t="s">
        <v>248</v>
      </c>
      <c r="E44">
        <v>70617.3</v>
      </c>
      <c r="I44" t="s">
        <v>12</v>
      </c>
    </row>
    <row r="45" spans="1:9">
      <c r="A45" s="1" t="s">
        <v>235</v>
      </c>
      <c r="B45" t="s">
        <v>231</v>
      </c>
      <c r="C45" s="2" t="s">
        <v>250</v>
      </c>
      <c r="E45">
        <v>70653.3</v>
      </c>
      <c r="H45">
        <v>0.90500000000000003</v>
      </c>
      <c r="I45" t="s">
        <v>12</v>
      </c>
    </row>
    <row r="46" spans="1:9">
      <c r="A46" s="1" t="s">
        <v>235</v>
      </c>
      <c r="B46" t="s">
        <v>209</v>
      </c>
      <c r="C46" s="2" t="s">
        <v>249</v>
      </c>
      <c r="E46">
        <v>71222</v>
      </c>
      <c r="I46" t="s">
        <v>12</v>
      </c>
    </row>
    <row r="47" spans="1:9">
      <c r="A47" s="1" t="s">
        <v>236</v>
      </c>
      <c r="B47" t="s">
        <v>209</v>
      </c>
      <c r="C47" s="2" t="s">
        <v>250</v>
      </c>
      <c r="E47">
        <v>71354.399999999994</v>
      </c>
      <c r="I47" t="s">
        <v>12</v>
      </c>
    </row>
    <row r="48" spans="1:9">
      <c r="A48" s="1" t="s">
        <v>236</v>
      </c>
      <c r="B48" t="s">
        <v>209</v>
      </c>
      <c r="C48" s="2" t="s">
        <v>249</v>
      </c>
      <c r="E48">
        <v>71380.399999999994</v>
      </c>
      <c r="I48" t="s">
        <v>12</v>
      </c>
    </row>
    <row r="49" spans="1:9">
      <c r="A49" s="1" t="s">
        <v>237</v>
      </c>
      <c r="B49" t="s">
        <v>206</v>
      </c>
      <c r="C49" s="2" t="s">
        <v>248</v>
      </c>
      <c r="E49">
        <v>71713.8</v>
      </c>
      <c r="I49" t="s">
        <v>12</v>
      </c>
    </row>
    <row r="50" spans="1:9">
      <c r="A50" s="1" t="s">
        <v>238</v>
      </c>
      <c r="B50" t="s">
        <v>209</v>
      </c>
      <c r="C50" s="2" t="s">
        <v>250</v>
      </c>
      <c r="E50">
        <v>72163.8</v>
      </c>
      <c r="I50" t="s">
        <v>12</v>
      </c>
    </row>
    <row r="51" spans="1:9">
      <c r="A51" s="1" t="s">
        <v>238</v>
      </c>
      <c r="B51" t="s">
        <v>209</v>
      </c>
      <c r="C51" s="2" t="s">
        <v>249</v>
      </c>
      <c r="E51">
        <v>72170.8</v>
      </c>
      <c r="I51" t="s">
        <v>12</v>
      </c>
    </row>
    <row r="52" spans="1:9">
      <c r="A52" s="1" t="s">
        <v>239</v>
      </c>
      <c r="B52" t="s">
        <v>206</v>
      </c>
      <c r="C52" s="2" t="s">
        <v>248</v>
      </c>
      <c r="E52">
        <v>72395.899999999994</v>
      </c>
      <c r="I52" t="s">
        <v>12</v>
      </c>
    </row>
    <row r="53" spans="1:9">
      <c r="A53" s="1" t="s">
        <v>240</v>
      </c>
      <c r="B53" t="s">
        <v>209</v>
      </c>
      <c r="C53" s="2" t="s">
        <v>250</v>
      </c>
      <c r="E53">
        <v>72690.100000000006</v>
      </c>
      <c r="I53" t="s">
        <v>12</v>
      </c>
    </row>
    <row r="54" spans="1:9">
      <c r="A54" s="1" t="s">
        <v>240</v>
      </c>
      <c r="B54" t="s">
        <v>209</v>
      </c>
      <c r="C54" s="2" t="s">
        <v>249</v>
      </c>
      <c r="E54">
        <v>72694.8</v>
      </c>
      <c r="I54" t="s">
        <v>12</v>
      </c>
    </row>
    <row r="55" spans="1:9">
      <c r="A55" s="1" t="s">
        <v>241</v>
      </c>
      <c r="B55" t="s">
        <v>206</v>
      </c>
      <c r="C55" s="2" t="s">
        <v>248</v>
      </c>
      <c r="E55">
        <v>72847.5</v>
      </c>
      <c r="I55" t="s">
        <v>12</v>
      </c>
    </row>
    <row r="56" spans="1:9">
      <c r="A56" s="1" t="s">
        <v>242</v>
      </c>
      <c r="B56" t="s">
        <v>209</v>
      </c>
      <c r="C56" s="2" t="s">
        <v>250</v>
      </c>
      <c r="E56">
        <v>73051</v>
      </c>
      <c r="I56" t="s">
        <v>12</v>
      </c>
    </row>
    <row r="57" spans="1:9">
      <c r="A57" s="1" t="s">
        <v>242</v>
      </c>
      <c r="B57" t="s">
        <v>209</v>
      </c>
      <c r="C57" s="2" t="s">
        <v>249</v>
      </c>
      <c r="E57">
        <v>73054.8</v>
      </c>
      <c r="I57" t="s">
        <v>12</v>
      </c>
    </row>
    <row r="58" spans="1:9">
      <c r="A58" s="1" t="s">
        <v>243</v>
      </c>
      <c r="B58" t="s">
        <v>206</v>
      </c>
      <c r="C58" s="2" t="s">
        <v>248</v>
      </c>
      <c r="E58">
        <v>73162.100000000006</v>
      </c>
      <c r="I58" t="s">
        <v>12</v>
      </c>
    </row>
    <row r="59" spans="1:9">
      <c r="A59" s="1" t="s">
        <v>244</v>
      </c>
      <c r="B59" t="s">
        <v>209</v>
      </c>
      <c r="C59" s="2" t="s">
        <v>250</v>
      </c>
      <c r="E59">
        <v>73308.100000000006</v>
      </c>
      <c r="I59" t="s">
        <v>12</v>
      </c>
    </row>
    <row r="60" spans="1:9">
      <c r="A60" s="1" t="s">
        <v>244</v>
      </c>
      <c r="B60" t="s">
        <v>209</v>
      </c>
      <c r="C60" s="2" t="s">
        <v>249</v>
      </c>
      <c r="E60">
        <v>73312.600000000006</v>
      </c>
      <c r="I60" t="s">
        <v>12</v>
      </c>
    </row>
    <row r="61" spans="1:9">
      <c r="A61" s="1" t="s">
        <v>245</v>
      </c>
      <c r="B61" t="s">
        <v>209</v>
      </c>
      <c r="C61" s="2" t="s">
        <v>250</v>
      </c>
      <c r="E61">
        <v>73500.399999999994</v>
      </c>
      <c r="I61" t="s">
        <v>12</v>
      </c>
    </row>
    <row r="62" spans="1:9">
      <c r="A62" s="1" t="s">
        <v>245</v>
      </c>
      <c r="B62" t="s">
        <v>209</v>
      </c>
      <c r="C62" s="2" t="s">
        <v>249</v>
      </c>
      <c r="E62">
        <v>73502.5</v>
      </c>
      <c r="I62" t="s">
        <v>12</v>
      </c>
    </row>
    <row r="63" spans="1:9">
      <c r="A63" s="1" t="s">
        <v>246</v>
      </c>
      <c r="B63" t="s">
        <v>202</v>
      </c>
      <c r="C63" s="2" t="s">
        <v>203</v>
      </c>
      <c r="E63">
        <v>74409.11</v>
      </c>
      <c r="F63">
        <v>0.03</v>
      </c>
      <c r="I63" t="s">
        <v>247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8C77-298D-4DF3-B08E-C367C359D22A}">
  <dimension ref="A1:J551"/>
  <sheetViews>
    <sheetView workbookViewId="0">
      <selection sqref="A1:J1048576"/>
    </sheetView>
  </sheetViews>
  <sheetFormatPr defaultRowHeight="15"/>
  <cols>
    <col min="1" max="1" width="20" bestFit="1" customWidth="1"/>
    <col min="2" max="2" width="6.42578125" bestFit="1" customWidth="1"/>
    <col min="3" max="3" width="4.855468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9" bestFit="1" customWidth="1"/>
    <col min="9" max="9" width="37" bestFit="1" customWidth="1"/>
    <col min="10" max="10" width="26.710937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1033</v>
      </c>
      <c r="B2" t="s">
        <v>1034</v>
      </c>
      <c r="C2" s="2" t="s">
        <v>250</v>
      </c>
      <c r="E2">
        <v>0</v>
      </c>
      <c r="G2">
        <v>2E-3</v>
      </c>
      <c r="H2">
        <v>0.39848</v>
      </c>
      <c r="I2" t="s">
        <v>1035</v>
      </c>
      <c r="J2" t="s">
        <v>1036</v>
      </c>
    </row>
    <row r="3" spans="1:10">
      <c r="A3" t="s">
        <v>1033</v>
      </c>
      <c r="B3" t="s">
        <v>1034</v>
      </c>
      <c r="C3" s="2" t="s">
        <v>249</v>
      </c>
      <c r="E3">
        <v>137.38300000000001</v>
      </c>
      <c r="G3">
        <v>1.4E-3</v>
      </c>
      <c r="H3">
        <v>1.0283899999999999</v>
      </c>
      <c r="I3" t="s">
        <v>1037</v>
      </c>
      <c r="J3" t="s">
        <v>1038</v>
      </c>
    </row>
    <row r="4" spans="1:10">
      <c r="A4" t="s">
        <v>1033</v>
      </c>
      <c r="B4" t="s">
        <v>1034</v>
      </c>
      <c r="C4" s="2" t="s">
        <v>251</v>
      </c>
      <c r="E4">
        <v>323.43200000000002</v>
      </c>
      <c r="G4">
        <v>1.2999999999999999E-3</v>
      </c>
      <c r="H4">
        <v>1.23821</v>
      </c>
      <c r="I4" t="s">
        <v>1035</v>
      </c>
      <c r="J4" t="s">
        <v>1038</v>
      </c>
    </row>
    <row r="5" spans="1:10">
      <c r="A5" t="s">
        <v>1033</v>
      </c>
      <c r="B5" t="s">
        <v>1034</v>
      </c>
      <c r="C5" s="2" t="s">
        <v>252</v>
      </c>
      <c r="E5">
        <v>552.95500000000004</v>
      </c>
      <c r="G5">
        <v>2E-3</v>
      </c>
      <c r="H5">
        <v>1.3335999999999999</v>
      </c>
      <c r="I5" t="s">
        <v>1037</v>
      </c>
      <c r="J5" t="s">
        <v>1038</v>
      </c>
    </row>
    <row r="6" spans="1:10">
      <c r="A6" t="s">
        <v>1039</v>
      </c>
      <c r="B6" t="s">
        <v>1040</v>
      </c>
      <c r="C6" s="2" t="s">
        <v>248</v>
      </c>
      <c r="E6">
        <v>2112.2820000000002</v>
      </c>
      <c r="G6">
        <v>2E-3</v>
      </c>
      <c r="H6">
        <v>3.33847</v>
      </c>
      <c r="I6">
        <v>98</v>
      </c>
      <c r="J6" t="s">
        <v>1038</v>
      </c>
    </row>
    <row r="7" spans="1:10">
      <c r="A7" t="s">
        <v>1039</v>
      </c>
      <c r="B7" t="s">
        <v>1040</v>
      </c>
      <c r="C7" s="2" t="s">
        <v>250</v>
      </c>
      <c r="E7">
        <v>2153.221</v>
      </c>
      <c r="G7">
        <v>2E-3</v>
      </c>
      <c r="H7">
        <v>1.86829</v>
      </c>
      <c r="I7">
        <v>98</v>
      </c>
      <c r="J7" t="s">
        <v>1038</v>
      </c>
    </row>
    <row r="8" spans="1:10">
      <c r="A8" t="s">
        <v>1039</v>
      </c>
      <c r="B8" t="s">
        <v>1040</v>
      </c>
      <c r="C8" s="2" t="s">
        <v>249</v>
      </c>
      <c r="E8">
        <v>2220.1559999999999</v>
      </c>
      <c r="G8">
        <v>2E-3</v>
      </c>
      <c r="H8">
        <v>1.65831</v>
      </c>
      <c r="I8">
        <v>10</v>
      </c>
      <c r="J8" t="s">
        <v>1038</v>
      </c>
    </row>
    <row r="9" spans="1:10">
      <c r="A9" t="s">
        <v>1039</v>
      </c>
      <c r="B9" t="s">
        <v>1040</v>
      </c>
      <c r="C9" s="2" t="s">
        <v>251</v>
      </c>
      <c r="E9">
        <v>2311.3690000000001</v>
      </c>
      <c r="G9">
        <v>2E-3</v>
      </c>
      <c r="H9">
        <v>1.58833</v>
      </c>
      <c r="I9">
        <v>10</v>
      </c>
      <c r="J9" t="s">
        <v>1038</v>
      </c>
    </row>
    <row r="10" spans="1:10">
      <c r="A10" t="s">
        <v>1039</v>
      </c>
      <c r="B10" t="s">
        <v>1040</v>
      </c>
      <c r="C10" s="2" t="s">
        <v>252</v>
      </c>
      <c r="E10">
        <v>2424.8090000000002</v>
      </c>
      <c r="G10">
        <v>2E-3</v>
      </c>
      <c r="H10">
        <v>1.55647</v>
      </c>
      <c r="I10">
        <v>98</v>
      </c>
      <c r="J10" t="s">
        <v>1038</v>
      </c>
    </row>
    <row r="11" spans="1:10">
      <c r="A11" t="s">
        <v>1039</v>
      </c>
      <c r="B11" t="s">
        <v>1041</v>
      </c>
      <c r="C11" s="2" t="s">
        <v>248</v>
      </c>
      <c r="E11">
        <v>8413.009</v>
      </c>
      <c r="G11">
        <v>2E-3</v>
      </c>
      <c r="H11">
        <v>0</v>
      </c>
      <c r="I11">
        <v>94</v>
      </c>
      <c r="J11" t="s">
        <v>1042</v>
      </c>
    </row>
    <row r="12" spans="1:10">
      <c r="A12" t="s">
        <v>1039</v>
      </c>
      <c r="B12" t="s">
        <v>1041</v>
      </c>
      <c r="C12" s="2" t="s">
        <v>250</v>
      </c>
      <c r="E12">
        <v>8476.2340000000004</v>
      </c>
      <c r="G12">
        <v>1.2999999999999999E-3</v>
      </c>
      <c r="H12">
        <v>1.19</v>
      </c>
      <c r="I12">
        <v>94</v>
      </c>
      <c r="J12" t="s">
        <v>1042</v>
      </c>
    </row>
    <row r="13" spans="1:10">
      <c r="A13" t="s">
        <v>1039</v>
      </c>
      <c r="B13" t="s">
        <v>1041</v>
      </c>
      <c r="C13" s="2" t="s">
        <v>249</v>
      </c>
      <c r="E13">
        <v>8578.5419999999995</v>
      </c>
      <c r="G13">
        <v>1.4E-3</v>
      </c>
      <c r="H13">
        <v>1.35</v>
      </c>
      <c r="I13">
        <v>94</v>
      </c>
      <c r="J13" t="s">
        <v>1042</v>
      </c>
    </row>
    <row r="14" spans="1:10">
      <c r="A14" t="s">
        <v>1039</v>
      </c>
      <c r="B14" t="s">
        <v>1041</v>
      </c>
      <c r="C14" s="2" t="s">
        <v>251</v>
      </c>
      <c r="E14">
        <v>8715.7469999999994</v>
      </c>
      <c r="G14">
        <v>2E-3</v>
      </c>
      <c r="H14">
        <v>1.39</v>
      </c>
      <c r="I14">
        <v>94</v>
      </c>
      <c r="J14" t="s">
        <v>1042</v>
      </c>
    </row>
    <row r="15" spans="1:10">
      <c r="A15" t="s">
        <v>1033</v>
      </c>
      <c r="B15" t="s">
        <v>1043</v>
      </c>
      <c r="C15" s="2" t="s">
        <v>248</v>
      </c>
      <c r="E15">
        <v>9544.6350000000002</v>
      </c>
      <c r="G15">
        <v>2E-3</v>
      </c>
      <c r="H15">
        <v>2.59</v>
      </c>
      <c r="I15" t="s">
        <v>1044</v>
      </c>
      <c r="J15" t="s">
        <v>1042</v>
      </c>
    </row>
    <row r="16" spans="1:10">
      <c r="A16" t="s">
        <v>1033</v>
      </c>
      <c r="B16" t="s">
        <v>1043</v>
      </c>
      <c r="C16" s="2" t="s">
        <v>250</v>
      </c>
      <c r="E16">
        <v>9637.0390000000007</v>
      </c>
      <c r="G16">
        <v>2E-3</v>
      </c>
      <c r="H16">
        <v>1.7</v>
      </c>
      <c r="I16" t="s">
        <v>1045</v>
      </c>
      <c r="J16" t="s">
        <v>1042</v>
      </c>
    </row>
    <row r="17" spans="1:10">
      <c r="A17" t="s">
        <v>1033</v>
      </c>
      <c r="B17" t="s">
        <v>1043</v>
      </c>
      <c r="C17" s="2" t="s">
        <v>249</v>
      </c>
      <c r="E17">
        <v>9824.6260000000002</v>
      </c>
      <c r="G17">
        <v>2E-3</v>
      </c>
      <c r="H17">
        <v>1.55</v>
      </c>
      <c r="I17" t="s">
        <v>1046</v>
      </c>
      <c r="J17" t="s">
        <v>1042</v>
      </c>
    </row>
    <row r="18" spans="1:10">
      <c r="A18" t="s">
        <v>1033</v>
      </c>
      <c r="B18" t="s">
        <v>1047</v>
      </c>
      <c r="C18" s="2" t="s">
        <v>251</v>
      </c>
      <c r="E18">
        <v>10892.52</v>
      </c>
      <c r="G18">
        <v>3.0000000000000001E-3</v>
      </c>
      <c r="H18">
        <v>0.88</v>
      </c>
      <c r="I18" t="s">
        <v>1048</v>
      </c>
      <c r="J18" t="s">
        <v>1042</v>
      </c>
    </row>
    <row r="19" spans="1:10">
      <c r="A19" t="s">
        <v>1033</v>
      </c>
      <c r="B19" t="s">
        <v>1047</v>
      </c>
      <c r="C19" s="2" t="s">
        <v>252</v>
      </c>
      <c r="E19">
        <v>11100.596</v>
      </c>
      <c r="G19">
        <v>2E-3</v>
      </c>
      <c r="H19">
        <v>1.1299999999999999</v>
      </c>
      <c r="I19" t="s">
        <v>1049</v>
      </c>
      <c r="J19" t="s">
        <v>1042</v>
      </c>
    </row>
    <row r="20" spans="1:10">
      <c r="A20" t="s">
        <v>1033</v>
      </c>
      <c r="B20" t="s">
        <v>1050</v>
      </c>
      <c r="C20" s="2" t="s">
        <v>250</v>
      </c>
      <c r="E20">
        <v>13801.550999999999</v>
      </c>
      <c r="G20">
        <v>5.0000000000000001E-3</v>
      </c>
      <c r="H20">
        <v>1.2</v>
      </c>
      <c r="I20" t="s">
        <v>1051</v>
      </c>
      <c r="J20" t="s">
        <v>1042</v>
      </c>
    </row>
    <row r="21" spans="1:10">
      <c r="A21" t="s">
        <v>1033</v>
      </c>
      <c r="B21" t="s">
        <v>1050</v>
      </c>
      <c r="C21" s="2" t="s">
        <v>248</v>
      </c>
      <c r="E21">
        <v>13810.91</v>
      </c>
      <c r="G21">
        <v>3.0000000000000001E-3</v>
      </c>
      <c r="H21">
        <v>0.64</v>
      </c>
      <c r="I21" t="s">
        <v>1052</v>
      </c>
      <c r="J21" t="s">
        <v>1042</v>
      </c>
    </row>
    <row r="22" spans="1:10">
      <c r="A22" t="s">
        <v>1033</v>
      </c>
      <c r="B22" t="s">
        <v>622</v>
      </c>
      <c r="C22" s="2" t="s">
        <v>250</v>
      </c>
      <c r="E22">
        <v>14514.755999999999</v>
      </c>
      <c r="G22">
        <v>4.0000000000000001E-3</v>
      </c>
      <c r="H22">
        <v>0.97</v>
      </c>
      <c r="I22" t="s">
        <v>1053</v>
      </c>
      <c r="J22" t="s">
        <v>1042</v>
      </c>
    </row>
    <row r="23" spans="1:10">
      <c r="A23" t="s">
        <v>1033</v>
      </c>
      <c r="B23" t="s">
        <v>622</v>
      </c>
      <c r="C23" s="2" t="s">
        <v>249</v>
      </c>
      <c r="E23">
        <v>14548.816000000001</v>
      </c>
      <c r="G23">
        <v>3.0000000000000001E-3</v>
      </c>
      <c r="H23">
        <v>1.17</v>
      </c>
      <c r="I23" t="s">
        <v>1054</v>
      </c>
      <c r="J23" t="s">
        <v>1042</v>
      </c>
    </row>
    <row r="24" spans="1:10">
      <c r="A24" t="s">
        <v>1055</v>
      </c>
      <c r="B24" t="s">
        <v>1056</v>
      </c>
      <c r="C24" s="2" t="s">
        <v>251</v>
      </c>
      <c r="E24">
        <v>14909.958000000001</v>
      </c>
      <c r="G24">
        <v>2E-3</v>
      </c>
      <c r="H24">
        <v>0.65</v>
      </c>
      <c r="I24">
        <v>96</v>
      </c>
      <c r="J24" t="s">
        <v>1042</v>
      </c>
    </row>
    <row r="25" spans="1:10">
      <c r="A25" t="s">
        <v>1055</v>
      </c>
      <c r="B25" t="s">
        <v>1056</v>
      </c>
      <c r="C25" s="2" t="s">
        <v>252</v>
      </c>
      <c r="E25">
        <v>14949.359</v>
      </c>
      <c r="G25">
        <v>2E-3</v>
      </c>
      <c r="H25">
        <v>0.94</v>
      </c>
      <c r="I25" t="s">
        <v>1057</v>
      </c>
      <c r="J25" t="s">
        <v>1042</v>
      </c>
    </row>
    <row r="26" spans="1:10">
      <c r="A26" t="s">
        <v>1055</v>
      </c>
      <c r="B26" t="s">
        <v>1056</v>
      </c>
      <c r="C26" s="2" t="s">
        <v>1702</v>
      </c>
      <c r="E26">
        <v>15000.937</v>
      </c>
      <c r="G26">
        <v>1.5E-3</v>
      </c>
      <c r="H26">
        <v>1.1000000000000001</v>
      </c>
      <c r="I26" t="s">
        <v>1058</v>
      </c>
      <c r="J26" t="s">
        <v>1042</v>
      </c>
    </row>
    <row r="27" spans="1:10">
      <c r="A27" t="s">
        <v>1055</v>
      </c>
      <c r="B27" t="s">
        <v>1056</v>
      </c>
      <c r="C27" s="2" t="s">
        <v>720</v>
      </c>
      <c r="E27">
        <v>15062.959000000001</v>
      </c>
      <c r="G27">
        <v>2E-3</v>
      </c>
      <c r="H27">
        <v>1.18</v>
      </c>
      <c r="I27">
        <v>96</v>
      </c>
      <c r="J27" t="s">
        <v>1042</v>
      </c>
    </row>
    <row r="28" spans="1:10">
      <c r="A28" t="s">
        <v>1059</v>
      </c>
      <c r="B28" t="s">
        <v>1060</v>
      </c>
      <c r="C28" s="2" t="s">
        <v>248</v>
      </c>
      <c r="E28">
        <v>15078.387000000001</v>
      </c>
      <c r="G28">
        <v>2E-3</v>
      </c>
      <c r="H28">
        <v>2.6</v>
      </c>
      <c r="I28" t="s">
        <v>1061</v>
      </c>
      <c r="J28" t="s">
        <v>1042</v>
      </c>
    </row>
    <row r="29" spans="1:10">
      <c r="A29" t="s">
        <v>1059</v>
      </c>
      <c r="B29" t="s">
        <v>1060</v>
      </c>
      <c r="C29" s="2" t="s">
        <v>250</v>
      </c>
      <c r="E29">
        <v>15270.582</v>
      </c>
      <c r="G29">
        <v>1.5E-3</v>
      </c>
      <c r="H29">
        <v>1.68</v>
      </c>
      <c r="I29" t="s">
        <v>1062</v>
      </c>
      <c r="J29" t="s">
        <v>1042</v>
      </c>
    </row>
    <row r="30" spans="1:10">
      <c r="A30" t="s">
        <v>1059</v>
      </c>
      <c r="B30" t="s">
        <v>1060</v>
      </c>
      <c r="C30" s="2" t="s">
        <v>249</v>
      </c>
      <c r="E30">
        <v>15572.035</v>
      </c>
      <c r="G30">
        <v>2E-3</v>
      </c>
      <c r="H30">
        <v>1.54</v>
      </c>
      <c r="I30" t="s">
        <v>1063</v>
      </c>
      <c r="J30" t="s">
        <v>1042</v>
      </c>
    </row>
    <row r="31" spans="1:10">
      <c r="A31" t="s">
        <v>1033</v>
      </c>
      <c r="B31" t="s">
        <v>1064</v>
      </c>
      <c r="C31" s="2" t="s">
        <v>252</v>
      </c>
      <c r="E31">
        <v>15103.784</v>
      </c>
      <c r="G31">
        <v>3.0000000000000001E-3</v>
      </c>
      <c r="H31">
        <v>0.9</v>
      </c>
      <c r="I31" t="s">
        <v>1065</v>
      </c>
      <c r="J31" t="s">
        <v>1042</v>
      </c>
    </row>
    <row r="32" spans="1:10">
      <c r="A32" t="s">
        <v>1033</v>
      </c>
      <c r="B32" t="s">
        <v>1064</v>
      </c>
      <c r="C32" s="2" t="s">
        <v>1702</v>
      </c>
      <c r="E32">
        <v>15264.832</v>
      </c>
      <c r="G32">
        <v>3.0000000000000001E-3</v>
      </c>
      <c r="H32">
        <v>1.07</v>
      </c>
      <c r="I32" t="s">
        <v>1066</v>
      </c>
      <c r="J32" t="s">
        <v>1042</v>
      </c>
    </row>
    <row r="33" spans="1:10">
      <c r="A33" t="s">
        <v>1067</v>
      </c>
      <c r="B33" t="s">
        <v>1068</v>
      </c>
      <c r="C33" s="2" t="s">
        <v>250</v>
      </c>
      <c r="E33">
        <v>15664.800999999999</v>
      </c>
      <c r="G33">
        <v>1.2999999999999999E-3</v>
      </c>
      <c r="H33">
        <v>0.39</v>
      </c>
      <c r="I33">
        <v>96</v>
      </c>
      <c r="J33" t="s">
        <v>1042</v>
      </c>
    </row>
    <row r="34" spans="1:10">
      <c r="A34" t="s">
        <v>1067</v>
      </c>
      <c r="B34" t="s">
        <v>1068</v>
      </c>
      <c r="C34" s="2" t="s">
        <v>249</v>
      </c>
      <c r="E34">
        <v>15688.861999999999</v>
      </c>
      <c r="G34">
        <v>2E-3</v>
      </c>
      <c r="H34">
        <v>1.05</v>
      </c>
      <c r="I34">
        <v>95</v>
      </c>
      <c r="J34" t="s">
        <v>1042</v>
      </c>
    </row>
    <row r="35" spans="1:10">
      <c r="A35" t="s">
        <v>1067</v>
      </c>
      <c r="B35" t="s">
        <v>1068</v>
      </c>
      <c r="C35" s="2" t="s">
        <v>251</v>
      </c>
      <c r="E35">
        <v>15724.228999999999</v>
      </c>
      <c r="G35">
        <v>1.1000000000000001E-3</v>
      </c>
      <c r="H35">
        <v>1.22</v>
      </c>
      <c r="I35" t="s">
        <v>1069</v>
      </c>
      <c r="J35" t="s">
        <v>1042</v>
      </c>
    </row>
    <row r="36" spans="1:10">
      <c r="A36" t="s">
        <v>1067</v>
      </c>
      <c r="B36" t="s">
        <v>1068</v>
      </c>
      <c r="C36" s="2" t="s">
        <v>252</v>
      </c>
      <c r="E36">
        <v>15770.789000000001</v>
      </c>
      <c r="G36">
        <v>1.5E-3</v>
      </c>
      <c r="H36">
        <v>1.31</v>
      </c>
      <c r="I36" t="s">
        <v>1070</v>
      </c>
      <c r="J36" t="s">
        <v>1042</v>
      </c>
    </row>
    <row r="37" spans="1:10">
      <c r="A37" t="s">
        <v>1071</v>
      </c>
      <c r="B37" t="s">
        <v>1072</v>
      </c>
      <c r="C37" s="2" t="s">
        <v>250</v>
      </c>
      <c r="E37">
        <v>16361.489</v>
      </c>
      <c r="G37">
        <v>4.0000000000000001E-3</v>
      </c>
      <c r="H37">
        <v>0</v>
      </c>
      <c r="I37">
        <v>100</v>
      </c>
      <c r="J37" t="s">
        <v>1042</v>
      </c>
    </row>
    <row r="38" spans="1:10">
      <c r="A38" t="s">
        <v>1071</v>
      </c>
      <c r="B38" t="s">
        <v>1072</v>
      </c>
      <c r="C38" s="2" t="s">
        <v>249</v>
      </c>
      <c r="E38">
        <v>16449.875</v>
      </c>
      <c r="G38">
        <v>7.0000000000000001E-3</v>
      </c>
      <c r="H38">
        <v>0.78</v>
      </c>
      <c r="I38">
        <v>98</v>
      </c>
      <c r="J38" t="s">
        <v>1042</v>
      </c>
    </row>
    <row r="39" spans="1:10">
      <c r="A39" t="s">
        <v>1071</v>
      </c>
      <c r="B39" t="s">
        <v>1072</v>
      </c>
      <c r="C39" s="2" t="s">
        <v>251</v>
      </c>
      <c r="E39">
        <v>16572.637999999999</v>
      </c>
      <c r="G39">
        <v>3.0000000000000001E-3</v>
      </c>
      <c r="H39">
        <v>1.1000000000000001</v>
      </c>
      <c r="I39">
        <v>100</v>
      </c>
      <c r="J39" t="s">
        <v>1042</v>
      </c>
    </row>
    <row r="40" spans="1:10">
      <c r="A40" t="s">
        <v>1071</v>
      </c>
      <c r="B40" t="s">
        <v>1072</v>
      </c>
      <c r="C40" s="2" t="s">
        <v>252</v>
      </c>
      <c r="E40">
        <v>16728.803</v>
      </c>
      <c r="G40">
        <v>4.0000000000000001E-3</v>
      </c>
      <c r="H40">
        <v>1.22</v>
      </c>
      <c r="I40">
        <v>100</v>
      </c>
      <c r="J40" t="s">
        <v>1042</v>
      </c>
    </row>
    <row r="41" spans="1:10">
      <c r="A41" t="s">
        <v>1071</v>
      </c>
      <c r="B41" t="s">
        <v>1072</v>
      </c>
      <c r="C41" s="2" t="s">
        <v>1702</v>
      </c>
      <c r="E41">
        <v>16917.21</v>
      </c>
      <c r="G41">
        <v>2E-3</v>
      </c>
      <c r="H41">
        <v>1.26</v>
      </c>
      <c r="I41">
        <v>98</v>
      </c>
      <c r="J41" t="s">
        <v>1042</v>
      </c>
    </row>
    <row r="42" spans="1:10">
      <c r="A42" t="s">
        <v>1071</v>
      </c>
      <c r="B42" t="s">
        <v>1072</v>
      </c>
      <c r="C42" s="2" t="s">
        <v>720</v>
      </c>
      <c r="E42">
        <v>17136.538</v>
      </c>
      <c r="G42">
        <v>2E-3</v>
      </c>
      <c r="H42">
        <v>1.43</v>
      </c>
      <c r="I42">
        <v>100</v>
      </c>
      <c r="J42" t="s">
        <v>1042</v>
      </c>
    </row>
    <row r="43" spans="1:10">
      <c r="A43" t="s">
        <v>1073</v>
      </c>
      <c r="B43" t="s">
        <v>1074</v>
      </c>
      <c r="C43" s="2" t="s">
        <v>249</v>
      </c>
      <c r="E43">
        <v>17054.923999999999</v>
      </c>
      <c r="G43">
        <v>2E-3</v>
      </c>
      <c r="H43">
        <v>0.59</v>
      </c>
      <c r="I43">
        <v>96</v>
      </c>
      <c r="J43" t="s">
        <v>1042</v>
      </c>
    </row>
    <row r="44" spans="1:10">
      <c r="A44" t="s">
        <v>1073</v>
      </c>
      <c r="B44" t="s">
        <v>1074</v>
      </c>
      <c r="C44" s="2" t="s">
        <v>251</v>
      </c>
      <c r="E44">
        <v>17116.947</v>
      </c>
      <c r="G44">
        <v>2E-3</v>
      </c>
      <c r="H44">
        <v>0.96</v>
      </c>
      <c r="I44">
        <v>92</v>
      </c>
      <c r="J44" t="s">
        <v>1042</v>
      </c>
    </row>
    <row r="45" spans="1:10">
      <c r="A45" t="s">
        <v>1073</v>
      </c>
      <c r="B45" t="s">
        <v>1074</v>
      </c>
      <c r="C45" s="2" t="s">
        <v>252</v>
      </c>
      <c r="E45">
        <v>17182.073</v>
      </c>
      <c r="G45">
        <v>2E-3</v>
      </c>
      <c r="H45">
        <v>1.1399999999999999</v>
      </c>
      <c r="I45">
        <v>92</v>
      </c>
      <c r="J45" t="s">
        <v>1042</v>
      </c>
    </row>
    <row r="46" spans="1:10">
      <c r="A46" t="s">
        <v>1073</v>
      </c>
      <c r="B46" t="s">
        <v>1074</v>
      </c>
      <c r="C46" s="2" t="s">
        <v>1702</v>
      </c>
      <c r="E46">
        <v>17242.07</v>
      </c>
      <c r="G46">
        <v>1E-3</v>
      </c>
      <c r="H46">
        <v>1.27</v>
      </c>
      <c r="I46">
        <v>94</v>
      </c>
      <c r="J46" t="s">
        <v>1042</v>
      </c>
    </row>
    <row r="47" spans="1:10">
      <c r="A47" t="s">
        <v>1071</v>
      </c>
      <c r="B47" t="s">
        <v>1075</v>
      </c>
      <c r="C47" s="2" t="s">
        <v>248</v>
      </c>
      <c r="E47">
        <v>18085.952000000001</v>
      </c>
      <c r="G47">
        <v>2E-3</v>
      </c>
      <c r="H47">
        <v>3.2</v>
      </c>
      <c r="I47" t="s">
        <v>1076</v>
      </c>
      <c r="J47" t="s">
        <v>1042</v>
      </c>
    </row>
    <row r="48" spans="1:10">
      <c r="A48" t="s">
        <v>1071</v>
      </c>
      <c r="B48" t="s">
        <v>1075</v>
      </c>
      <c r="C48" s="2" t="s">
        <v>250</v>
      </c>
      <c r="E48">
        <v>18126.25</v>
      </c>
      <c r="G48">
        <v>3.0000000000000001E-3</v>
      </c>
      <c r="H48">
        <v>1.76</v>
      </c>
      <c r="I48" t="s">
        <v>1077</v>
      </c>
      <c r="J48" t="s">
        <v>1042</v>
      </c>
    </row>
    <row r="49" spans="1:10">
      <c r="A49" t="s">
        <v>1071</v>
      </c>
      <c r="B49" t="s">
        <v>1075</v>
      </c>
      <c r="C49" s="2" t="s">
        <v>249</v>
      </c>
      <c r="E49">
        <v>18198.091</v>
      </c>
      <c r="G49">
        <v>2E-3</v>
      </c>
      <c r="H49">
        <v>1.58</v>
      </c>
      <c r="I49" t="s">
        <v>1078</v>
      </c>
      <c r="J49" t="s">
        <v>1042</v>
      </c>
    </row>
    <row r="50" spans="1:10">
      <c r="A50" t="s">
        <v>1071</v>
      </c>
      <c r="B50" t="s">
        <v>1075</v>
      </c>
      <c r="C50" s="2" t="s">
        <v>251</v>
      </c>
      <c r="E50">
        <v>18302.28</v>
      </c>
      <c r="G50">
        <v>2E-3</v>
      </c>
      <c r="H50">
        <v>1.56</v>
      </c>
      <c r="I50" t="s">
        <v>1079</v>
      </c>
      <c r="J50" t="s">
        <v>1042</v>
      </c>
    </row>
    <row r="51" spans="1:10">
      <c r="A51" t="s">
        <v>1071</v>
      </c>
      <c r="B51" t="s">
        <v>1075</v>
      </c>
      <c r="C51" s="2" t="s">
        <v>252</v>
      </c>
      <c r="E51">
        <v>18438.044000000002</v>
      </c>
      <c r="G51">
        <v>2E-3</v>
      </c>
      <c r="H51">
        <v>1.55</v>
      </c>
      <c r="I51" t="s">
        <v>1077</v>
      </c>
      <c r="J51" t="s">
        <v>1042</v>
      </c>
    </row>
    <row r="52" spans="1:10">
      <c r="A52" t="s">
        <v>1071</v>
      </c>
      <c r="B52" t="s">
        <v>1080</v>
      </c>
      <c r="C52" s="2" t="s">
        <v>248</v>
      </c>
      <c r="E52">
        <v>18120.103999999999</v>
      </c>
      <c r="G52">
        <v>2E-3</v>
      </c>
      <c r="H52">
        <v>-0.44</v>
      </c>
      <c r="I52" t="s">
        <v>1081</v>
      </c>
      <c r="J52" t="s">
        <v>1042</v>
      </c>
    </row>
    <row r="53" spans="1:10">
      <c r="A53" t="s">
        <v>1071</v>
      </c>
      <c r="B53" t="s">
        <v>1080</v>
      </c>
      <c r="C53" s="2" t="s">
        <v>250</v>
      </c>
      <c r="E53">
        <v>18174.074000000001</v>
      </c>
      <c r="G53">
        <v>3.0000000000000001E-3</v>
      </c>
      <c r="H53">
        <v>1.1399999999999999</v>
      </c>
      <c r="I53" t="s">
        <v>1082</v>
      </c>
      <c r="J53" t="s">
        <v>1042</v>
      </c>
    </row>
    <row r="54" spans="1:10">
      <c r="A54" t="s">
        <v>1071</v>
      </c>
      <c r="B54" t="s">
        <v>1080</v>
      </c>
      <c r="C54" s="2" t="s">
        <v>249</v>
      </c>
      <c r="E54">
        <v>18258.855</v>
      </c>
      <c r="G54">
        <v>4.0000000000000001E-3</v>
      </c>
      <c r="H54">
        <v>1.28</v>
      </c>
      <c r="I54" t="s">
        <v>1083</v>
      </c>
      <c r="J54" t="s">
        <v>1042</v>
      </c>
    </row>
    <row r="55" spans="1:10">
      <c r="A55" t="s">
        <v>1071</v>
      </c>
      <c r="B55" t="s">
        <v>1080</v>
      </c>
      <c r="C55" s="2" t="s">
        <v>251</v>
      </c>
      <c r="E55">
        <v>18372.462</v>
      </c>
      <c r="G55">
        <v>2E-3</v>
      </c>
      <c r="H55">
        <v>1.28</v>
      </c>
      <c r="I55" t="s">
        <v>1083</v>
      </c>
      <c r="J55" t="s">
        <v>1042</v>
      </c>
    </row>
    <row r="56" spans="1:10">
      <c r="A56" t="s">
        <v>1071</v>
      </c>
      <c r="B56" t="s">
        <v>1080</v>
      </c>
      <c r="C56" s="2" t="s">
        <v>252</v>
      </c>
      <c r="E56">
        <v>18513.402999999998</v>
      </c>
      <c r="G56">
        <v>2E-3</v>
      </c>
      <c r="H56">
        <v>1.38</v>
      </c>
      <c r="I56" t="s">
        <v>1084</v>
      </c>
      <c r="J56" t="s">
        <v>1042</v>
      </c>
    </row>
    <row r="57" spans="1:10">
      <c r="A57" t="s">
        <v>1071</v>
      </c>
      <c r="B57" t="s">
        <v>1080</v>
      </c>
      <c r="C57" s="2" t="s">
        <v>1702</v>
      </c>
      <c r="E57">
        <v>18680.07</v>
      </c>
      <c r="G57">
        <v>3.0000000000000001E-3</v>
      </c>
      <c r="H57">
        <v>1.42</v>
      </c>
      <c r="I57" t="s">
        <v>1085</v>
      </c>
      <c r="J57" t="s">
        <v>1042</v>
      </c>
    </row>
    <row r="58" spans="1:10">
      <c r="A58" t="s">
        <v>1059</v>
      </c>
      <c r="B58" t="s">
        <v>1086</v>
      </c>
      <c r="C58" s="2" t="s">
        <v>248</v>
      </c>
      <c r="E58">
        <v>18805.047999999999</v>
      </c>
      <c r="G58">
        <v>2E-3</v>
      </c>
      <c r="H58">
        <v>0.67</v>
      </c>
      <c r="I58" t="s">
        <v>1087</v>
      </c>
      <c r="J58" t="s">
        <v>1042</v>
      </c>
    </row>
    <row r="59" spans="1:10">
      <c r="A59" t="s">
        <v>1059</v>
      </c>
      <c r="B59" t="s">
        <v>1086</v>
      </c>
      <c r="C59" s="2" t="s">
        <v>250</v>
      </c>
      <c r="E59">
        <v>19189.282999999999</v>
      </c>
      <c r="G59">
        <v>3.0000000000000001E-3</v>
      </c>
      <c r="H59">
        <v>1.37</v>
      </c>
      <c r="I59" t="s">
        <v>1088</v>
      </c>
      <c r="J59" t="s">
        <v>1042</v>
      </c>
    </row>
    <row r="60" spans="1:10">
      <c r="A60" t="s">
        <v>1055</v>
      </c>
      <c r="B60" t="s">
        <v>1089</v>
      </c>
      <c r="C60" s="2" t="s">
        <v>252</v>
      </c>
      <c r="E60">
        <v>19023.530999999999</v>
      </c>
      <c r="G60">
        <v>1.4E-3</v>
      </c>
      <c r="H60">
        <v>0.91</v>
      </c>
      <c r="I60" t="s">
        <v>1090</v>
      </c>
      <c r="J60" t="s">
        <v>1042</v>
      </c>
    </row>
    <row r="61" spans="1:10">
      <c r="A61" t="s">
        <v>1055</v>
      </c>
      <c r="B61" t="s">
        <v>1089</v>
      </c>
      <c r="C61" s="2" t="s">
        <v>1702</v>
      </c>
      <c r="E61">
        <v>19145.148000000001</v>
      </c>
      <c r="G61">
        <v>1.2999999999999999E-3</v>
      </c>
      <c r="H61">
        <v>1.08</v>
      </c>
      <c r="I61" t="s">
        <v>1090</v>
      </c>
      <c r="J61" t="s">
        <v>1042</v>
      </c>
    </row>
    <row r="62" spans="1:10">
      <c r="A62" t="s">
        <v>1067</v>
      </c>
      <c r="B62" t="s">
        <v>1091</v>
      </c>
      <c r="C62" s="2" t="s">
        <v>249</v>
      </c>
      <c r="E62">
        <v>19026.326000000001</v>
      </c>
      <c r="G62">
        <v>3.0000000000000001E-3</v>
      </c>
      <c r="H62">
        <v>0.86</v>
      </c>
      <c r="I62" t="s">
        <v>1092</v>
      </c>
      <c r="J62" t="s">
        <v>1042</v>
      </c>
    </row>
    <row r="63" spans="1:10">
      <c r="A63" t="s">
        <v>1067</v>
      </c>
      <c r="B63" t="s">
        <v>1091</v>
      </c>
      <c r="C63" s="2" t="s">
        <v>251</v>
      </c>
      <c r="E63">
        <v>19078.112000000001</v>
      </c>
      <c r="G63">
        <v>2E-3</v>
      </c>
      <c r="H63">
        <v>1.1399999999999999</v>
      </c>
      <c r="I63" t="s">
        <v>1093</v>
      </c>
      <c r="J63" t="s">
        <v>1042</v>
      </c>
    </row>
    <row r="64" spans="1:10">
      <c r="A64" t="s">
        <v>1094</v>
      </c>
      <c r="B64" t="s">
        <v>1095</v>
      </c>
      <c r="C64" s="2" t="s">
        <v>249</v>
      </c>
      <c r="E64">
        <v>20202.550999999999</v>
      </c>
      <c r="G64">
        <v>1.4E-3</v>
      </c>
      <c r="I64" t="s">
        <v>1096</v>
      </c>
      <c r="J64" t="s">
        <v>1097</v>
      </c>
    </row>
    <row r="65" spans="1:10">
      <c r="A65" t="s">
        <v>1071</v>
      </c>
      <c r="B65" t="s">
        <v>1098</v>
      </c>
      <c r="C65" s="2" t="s">
        <v>248</v>
      </c>
      <c r="E65">
        <v>20606.467000000001</v>
      </c>
      <c r="G65">
        <v>2E-3</v>
      </c>
      <c r="H65">
        <v>-0.04</v>
      </c>
      <c r="I65" t="s">
        <v>1099</v>
      </c>
      <c r="J65" t="s">
        <v>1042</v>
      </c>
    </row>
    <row r="66" spans="1:10">
      <c r="A66" t="s">
        <v>1071</v>
      </c>
      <c r="B66" t="s">
        <v>1098</v>
      </c>
      <c r="C66" s="2" t="s">
        <v>250</v>
      </c>
      <c r="E66">
        <v>20687.769</v>
      </c>
      <c r="G66">
        <v>1.1000000000000001E-3</v>
      </c>
      <c r="H66">
        <v>1.21</v>
      </c>
      <c r="I66" t="s">
        <v>1100</v>
      </c>
      <c r="J66" t="s">
        <v>1042</v>
      </c>
    </row>
    <row r="67" spans="1:10">
      <c r="A67" t="s">
        <v>1071</v>
      </c>
      <c r="B67" t="s">
        <v>1098</v>
      </c>
      <c r="C67" s="2" t="s">
        <v>249</v>
      </c>
      <c r="E67">
        <v>20828.481</v>
      </c>
      <c r="G67">
        <v>2E-3</v>
      </c>
      <c r="H67">
        <v>1.35</v>
      </c>
      <c r="I67" t="s">
        <v>1101</v>
      </c>
      <c r="J67" t="s">
        <v>1042</v>
      </c>
    </row>
    <row r="68" spans="1:10">
      <c r="A68" t="s">
        <v>1071</v>
      </c>
      <c r="B68" t="s">
        <v>1098</v>
      </c>
      <c r="C68" s="2" t="s">
        <v>251</v>
      </c>
      <c r="E68">
        <v>21032.503000000001</v>
      </c>
      <c r="G68">
        <v>1.2999999999999999E-3</v>
      </c>
      <c r="H68">
        <v>1.45</v>
      </c>
      <c r="I68" t="s">
        <v>1102</v>
      </c>
      <c r="J68" t="s">
        <v>1042</v>
      </c>
    </row>
    <row r="69" spans="1:10">
      <c r="A69" t="s">
        <v>1103</v>
      </c>
      <c r="B69" t="s">
        <v>1104</v>
      </c>
      <c r="C69" s="2" t="s">
        <v>251</v>
      </c>
      <c r="E69">
        <v>20767.609</v>
      </c>
      <c r="G69">
        <v>2E-3</v>
      </c>
      <c r="H69">
        <v>1.45</v>
      </c>
      <c r="I69" t="s">
        <v>1105</v>
      </c>
      <c r="J69" t="s">
        <v>1042</v>
      </c>
    </row>
    <row r="70" spans="1:10">
      <c r="A70" t="s">
        <v>1103</v>
      </c>
      <c r="B70" t="s">
        <v>1104</v>
      </c>
      <c r="C70" s="2" t="s">
        <v>249</v>
      </c>
      <c r="E70">
        <v>20789.112000000001</v>
      </c>
      <c r="G70">
        <v>2E-3</v>
      </c>
      <c r="H70">
        <v>1.25</v>
      </c>
      <c r="I70" t="s">
        <v>1105</v>
      </c>
      <c r="J70" t="s">
        <v>1042</v>
      </c>
    </row>
    <row r="71" spans="1:10">
      <c r="A71" t="s">
        <v>1103</v>
      </c>
      <c r="B71" t="s">
        <v>1104</v>
      </c>
      <c r="C71" s="2" t="s">
        <v>250</v>
      </c>
      <c r="E71">
        <v>20813.108</v>
      </c>
      <c r="G71">
        <v>2E-3</v>
      </c>
      <c r="H71">
        <v>1.2</v>
      </c>
      <c r="I71" t="s">
        <v>1105</v>
      </c>
      <c r="J71" t="s">
        <v>1042</v>
      </c>
    </row>
    <row r="72" spans="1:10">
      <c r="A72" t="s">
        <v>1103</v>
      </c>
      <c r="B72" t="s">
        <v>1104</v>
      </c>
      <c r="C72" s="2" t="s">
        <v>248</v>
      </c>
      <c r="E72">
        <v>20830.344000000001</v>
      </c>
      <c r="G72">
        <v>6.0000000000000001E-3</v>
      </c>
      <c r="H72">
        <v>0.1</v>
      </c>
      <c r="I72" t="s">
        <v>1105</v>
      </c>
      <c r="J72" t="s">
        <v>1042</v>
      </c>
    </row>
    <row r="73" spans="1:10">
      <c r="A73" t="s">
        <v>1073</v>
      </c>
      <c r="B73" t="s">
        <v>594</v>
      </c>
      <c r="C73" s="2" t="s">
        <v>251</v>
      </c>
      <c r="E73">
        <v>21101.589</v>
      </c>
      <c r="G73">
        <v>1.2999999999999999E-3</v>
      </c>
      <c r="H73" t="s">
        <v>1106</v>
      </c>
      <c r="I73" t="s">
        <v>1107</v>
      </c>
      <c r="J73" t="s">
        <v>1108</v>
      </c>
    </row>
    <row r="74" spans="1:10">
      <c r="A74" t="s">
        <v>1073</v>
      </c>
      <c r="B74" t="s">
        <v>594</v>
      </c>
      <c r="C74" s="2" t="s">
        <v>252</v>
      </c>
      <c r="E74">
        <v>21275.651999999998</v>
      </c>
      <c r="G74">
        <v>2E-3</v>
      </c>
      <c r="H74" t="s">
        <v>1109</v>
      </c>
      <c r="I74" t="s">
        <v>1110</v>
      </c>
      <c r="J74" t="s">
        <v>1108</v>
      </c>
    </row>
    <row r="75" spans="1:10">
      <c r="A75" t="s">
        <v>1111</v>
      </c>
      <c r="B75" t="s">
        <v>1112</v>
      </c>
      <c r="C75" s="2" t="s">
        <v>252</v>
      </c>
      <c r="E75">
        <v>21603.258999999998</v>
      </c>
      <c r="G75">
        <v>2E-3</v>
      </c>
      <c r="H75">
        <v>1.1100000000000001</v>
      </c>
      <c r="I75" t="s">
        <v>1113</v>
      </c>
      <c r="J75" t="s">
        <v>1042</v>
      </c>
    </row>
    <row r="76" spans="1:10">
      <c r="A76" t="s">
        <v>1111</v>
      </c>
      <c r="B76" t="s">
        <v>1112</v>
      </c>
      <c r="C76" s="2" t="s">
        <v>251</v>
      </c>
      <c r="E76">
        <v>21646.42</v>
      </c>
      <c r="G76">
        <v>4.0000000000000001E-3</v>
      </c>
      <c r="H76">
        <v>0.86</v>
      </c>
      <c r="I76" t="s">
        <v>1114</v>
      </c>
      <c r="J76" t="s">
        <v>1042</v>
      </c>
    </row>
    <row r="77" spans="1:10">
      <c r="A77" t="s">
        <v>1071</v>
      </c>
      <c r="B77" t="s">
        <v>1115</v>
      </c>
      <c r="C77" s="2" t="s">
        <v>249</v>
      </c>
      <c r="E77">
        <v>21841.420999999998</v>
      </c>
      <c r="G77">
        <v>1.5E-3</v>
      </c>
      <c r="H77">
        <v>0.55000000000000004</v>
      </c>
      <c r="I77" t="s">
        <v>1116</v>
      </c>
      <c r="J77" t="s">
        <v>1042</v>
      </c>
    </row>
    <row r="78" spans="1:10">
      <c r="A78" t="s">
        <v>1071</v>
      </c>
      <c r="B78" t="s">
        <v>1115</v>
      </c>
      <c r="C78" s="2" t="s">
        <v>251</v>
      </c>
      <c r="E78">
        <v>21963.437000000002</v>
      </c>
      <c r="G78">
        <v>2E-3</v>
      </c>
      <c r="H78">
        <v>0.96</v>
      </c>
      <c r="I78" t="s">
        <v>1117</v>
      </c>
      <c r="J78" t="s">
        <v>1042</v>
      </c>
    </row>
    <row r="79" spans="1:10">
      <c r="A79" t="s">
        <v>1071</v>
      </c>
      <c r="B79" t="s">
        <v>1115</v>
      </c>
      <c r="C79" s="2" t="s">
        <v>252</v>
      </c>
      <c r="E79">
        <v>22121.079000000002</v>
      </c>
      <c r="G79">
        <v>2E-3</v>
      </c>
      <c r="H79">
        <v>1.1599999999999999</v>
      </c>
      <c r="I79" t="s">
        <v>1118</v>
      </c>
      <c r="J79" t="s">
        <v>1042</v>
      </c>
    </row>
    <row r="80" spans="1:10">
      <c r="A80" t="s">
        <v>1071</v>
      </c>
      <c r="B80" t="s">
        <v>1115</v>
      </c>
      <c r="C80" s="2" t="s">
        <v>1702</v>
      </c>
      <c r="E80">
        <v>22313.831999999999</v>
      </c>
      <c r="G80">
        <v>2E-3</v>
      </c>
      <c r="H80">
        <v>1.24</v>
      </c>
      <c r="I80" t="s">
        <v>1119</v>
      </c>
      <c r="J80" t="s">
        <v>1042</v>
      </c>
    </row>
    <row r="81" spans="1:10">
      <c r="A81" t="s">
        <v>1120</v>
      </c>
      <c r="B81" t="s">
        <v>1121</v>
      </c>
      <c r="C81" s="2" t="s">
        <v>720</v>
      </c>
      <c r="E81">
        <v>22479.402999999998</v>
      </c>
      <c r="G81">
        <v>2E-3</v>
      </c>
      <c r="H81" t="s">
        <v>1122</v>
      </c>
      <c r="I81">
        <v>96</v>
      </c>
      <c r="J81" t="s">
        <v>1108</v>
      </c>
    </row>
    <row r="82" spans="1:10">
      <c r="A82" t="s">
        <v>1120</v>
      </c>
      <c r="B82" t="s">
        <v>1121</v>
      </c>
      <c r="C82" s="2" t="s">
        <v>1702</v>
      </c>
      <c r="E82">
        <v>22496.545999999998</v>
      </c>
      <c r="G82">
        <v>3.0000000000000001E-3</v>
      </c>
      <c r="H82" t="s">
        <v>1123</v>
      </c>
      <c r="I82">
        <v>96</v>
      </c>
      <c r="J82" t="s">
        <v>1108</v>
      </c>
    </row>
    <row r="83" spans="1:10">
      <c r="A83" t="s">
        <v>1071</v>
      </c>
      <c r="B83" t="s">
        <v>1124</v>
      </c>
      <c r="C83" s="2" t="s">
        <v>250</v>
      </c>
      <c r="E83">
        <v>23088.074000000001</v>
      </c>
      <c r="G83">
        <v>1.2999999999999999E-3</v>
      </c>
      <c r="H83" t="s">
        <v>1125</v>
      </c>
      <c r="I83" t="s">
        <v>1126</v>
      </c>
      <c r="J83" t="s">
        <v>1042</v>
      </c>
    </row>
    <row r="84" spans="1:10">
      <c r="A84" t="s">
        <v>1071</v>
      </c>
      <c r="B84" t="s">
        <v>1124</v>
      </c>
      <c r="C84" s="2" t="s">
        <v>249</v>
      </c>
      <c r="E84">
        <v>23210.560000000001</v>
      </c>
      <c r="G84">
        <v>2E-3</v>
      </c>
      <c r="H84" t="s">
        <v>1127</v>
      </c>
      <c r="I84">
        <v>91</v>
      </c>
      <c r="J84" t="s">
        <v>1128</v>
      </c>
    </row>
    <row r="85" spans="1:10">
      <c r="A85" t="s">
        <v>1071</v>
      </c>
      <c r="B85" t="s">
        <v>1124</v>
      </c>
      <c r="C85" s="2" t="s">
        <v>251</v>
      </c>
      <c r="E85">
        <v>23353.134999999998</v>
      </c>
      <c r="G85">
        <v>1E-3</v>
      </c>
      <c r="H85">
        <v>1.23</v>
      </c>
      <c r="I85">
        <v>95</v>
      </c>
      <c r="J85" t="s">
        <v>1042</v>
      </c>
    </row>
    <row r="86" spans="1:10">
      <c r="A86" t="s">
        <v>1071</v>
      </c>
      <c r="B86" t="s">
        <v>1124</v>
      </c>
      <c r="C86" s="2" t="s">
        <v>252</v>
      </c>
      <c r="E86">
        <v>23519.871999999999</v>
      </c>
      <c r="G86">
        <v>1.1000000000000001E-3</v>
      </c>
      <c r="H86">
        <v>1.31</v>
      </c>
      <c r="I86" t="s">
        <v>1129</v>
      </c>
      <c r="J86" t="s">
        <v>1042</v>
      </c>
    </row>
    <row r="87" spans="1:10">
      <c r="A87" t="s">
        <v>1071</v>
      </c>
      <c r="B87" t="s">
        <v>1130</v>
      </c>
      <c r="C87" s="2" t="s">
        <v>250</v>
      </c>
      <c r="E87">
        <v>23608.764999999999</v>
      </c>
      <c r="G87">
        <v>2E-3</v>
      </c>
      <c r="H87">
        <v>0.76</v>
      </c>
      <c r="I87" t="s">
        <v>1131</v>
      </c>
      <c r="J87" t="s">
        <v>1042</v>
      </c>
    </row>
    <row r="88" spans="1:10">
      <c r="A88" t="s">
        <v>1071</v>
      </c>
      <c r="B88" t="s">
        <v>1130</v>
      </c>
      <c r="C88" s="2" t="s">
        <v>249</v>
      </c>
      <c r="E88">
        <v>23935.112000000001</v>
      </c>
      <c r="G88">
        <v>2E-3</v>
      </c>
      <c r="H88" t="s">
        <v>1132</v>
      </c>
      <c r="I88" t="s">
        <v>1133</v>
      </c>
      <c r="J88" t="s">
        <v>1042</v>
      </c>
    </row>
    <row r="89" spans="1:10">
      <c r="A89" t="s">
        <v>1103</v>
      </c>
      <c r="B89" t="s">
        <v>209</v>
      </c>
      <c r="C89" s="2" t="s">
        <v>249</v>
      </c>
      <c r="E89">
        <v>24630.566999999999</v>
      </c>
      <c r="G89">
        <v>2E-3</v>
      </c>
      <c r="H89" t="s">
        <v>1134</v>
      </c>
      <c r="I89" t="s">
        <v>1135</v>
      </c>
      <c r="J89" t="s">
        <v>1108</v>
      </c>
    </row>
    <row r="90" spans="1:10">
      <c r="A90" t="s">
        <v>1103</v>
      </c>
      <c r="B90" t="s">
        <v>209</v>
      </c>
      <c r="C90" s="2" t="s">
        <v>250</v>
      </c>
      <c r="E90">
        <v>24643.527999999998</v>
      </c>
      <c r="G90">
        <v>4.0000000000000001E-3</v>
      </c>
      <c r="H90" t="s">
        <v>1136</v>
      </c>
      <c r="I90" t="s">
        <v>1137</v>
      </c>
      <c r="J90" t="s">
        <v>1108</v>
      </c>
    </row>
    <row r="91" spans="1:10">
      <c r="A91" t="s">
        <v>1138</v>
      </c>
      <c r="B91" t="s">
        <v>1139</v>
      </c>
      <c r="C91" s="2" t="s">
        <v>250</v>
      </c>
      <c r="E91">
        <v>24648.114000000001</v>
      </c>
      <c r="G91">
        <v>2E-3</v>
      </c>
      <c r="H91">
        <v>2.34</v>
      </c>
      <c r="I91" t="s">
        <v>1140</v>
      </c>
      <c r="J91" t="s">
        <v>1042</v>
      </c>
    </row>
    <row r="92" spans="1:10">
      <c r="A92" t="s">
        <v>1138</v>
      </c>
      <c r="B92" t="s">
        <v>1139</v>
      </c>
      <c r="C92" s="2" t="s">
        <v>249</v>
      </c>
      <c r="E92">
        <v>24727.841</v>
      </c>
      <c r="G92">
        <v>2E-3</v>
      </c>
      <c r="H92">
        <v>1.86</v>
      </c>
      <c r="I92" t="s">
        <v>1141</v>
      </c>
      <c r="J92" t="s">
        <v>1042</v>
      </c>
    </row>
    <row r="93" spans="1:10">
      <c r="A93" t="s">
        <v>1138</v>
      </c>
      <c r="B93" t="s">
        <v>1139</v>
      </c>
      <c r="C93" s="2" t="s">
        <v>251</v>
      </c>
      <c r="E93">
        <v>24838.578000000001</v>
      </c>
      <c r="G93">
        <v>1E-3</v>
      </c>
      <c r="H93">
        <v>1.67</v>
      </c>
      <c r="I93" t="s">
        <v>1142</v>
      </c>
      <c r="J93" t="s">
        <v>1042</v>
      </c>
    </row>
    <row r="94" spans="1:10">
      <c r="A94" t="s">
        <v>1138</v>
      </c>
      <c r="B94" t="s">
        <v>1143</v>
      </c>
      <c r="C94" s="2" t="s">
        <v>248</v>
      </c>
      <c r="E94">
        <v>24770.672999999999</v>
      </c>
      <c r="G94">
        <v>2E-3</v>
      </c>
      <c r="H94">
        <v>2.54</v>
      </c>
      <c r="I94" t="s">
        <v>1144</v>
      </c>
      <c r="J94" t="s">
        <v>1042</v>
      </c>
    </row>
    <row r="95" spans="1:10">
      <c r="A95" t="s">
        <v>1138</v>
      </c>
      <c r="B95" t="s">
        <v>1143</v>
      </c>
      <c r="C95" s="2" t="s">
        <v>250</v>
      </c>
      <c r="E95">
        <v>24915.151000000002</v>
      </c>
      <c r="G95">
        <v>1.5E-3</v>
      </c>
      <c r="H95">
        <v>1.71</v>
      </c>
      <c r="I95" t="s">
        <v>1144</v>
      </c>
      <c r="J95" t="s">
        <v>1042</v>
      </c>
    </row>
    <row r="96" spans="1:10">
      <c r="A96" t="s">
        <v>1138</v>
      </c>
      <c r="B96" t="s">
        <v>1143</v>
      </c>
      <c r="C96" s="2" t="s">
        <v>249</v>
      </c>
      <c r="E96">
        <v>25131.002</v>
      </c>
      <c r="G96">
        <v>2E-3</v>
      </c>
      <c r="H96">
        <v>1.59</v>
      </c>
      <c r="I96" t="s">
        <v>1144</v>
      </c>
      <c r="J96" t="s">
        <v>1042</v>
      </c>
    </row>
    <row r="97" spans="1:10">
      <c r="A97" t="s">
        <v>1033</v>
      </c>
      <c r="B97" t="s">
        <v>577</v>
      </c>
      <c r="C97" s="2" t="s">
        <v>251</v>
      </c>
      <c r="E97">
        <v>24778.321</v>
      </c>
      <c r="G97">
        <v>4.0000000000000001E-3</v>
      </c>
      <c r="H97" t="s">
        <v>1145</v>
      </c>
      <c r="I97" t="s">
        <v>1146</v>
      </c>
      <c r="J97" t="s">
        <v>1108</v>
      </c>
    </row>
    <row r="98" spans="1:10">
      <c r="A98" t="s">
        <v>1033</v>
      </c>
      <c r="B98" t="s">
        <v>577</v>
      </c>
      <c r="C98" s="2" t="s">
        <v>249</v>
      </c>
      <c r="E98">
        <v>24859.901000000002</v>
      </c>
      <c r="G98">
        <v>5.0000000000000001E-3</v>
      </c>
      <c r="H98" t="s">
        <v>1147</v>
      </c>
      <c r="I98" t="s">
        <v>1148</v>
      </c>
      <c r="J98" t="s">
        <v>1108</v>
      </c>
    </row>
    <row r="99" spans="1:10">
      <c r="A99" t="s">
        <v>1138</v>
      </c>
      <c r="B99" t="s">
        <v>1149</v>
      </c>
      <c r="C99" s="2" t="s">
        <v>248</v>
      </c>
      <c r="E99">
        <v>24789.401000000002</v>
      </c>
      <c r="G99">
        <v>3.0000000000000001E-3</v>
      </c>
      <c r="H99">
        <v>-0.57999999999999996</v>
      </c>
      <c r="I99" t="s">
        <v>1150</v>
      </c>
      <c r="J99" t="s">
        <v>1042</v>
      </c>
    </row>
    <row r="100" spans="1:10">
      <c r="A100" t="s">
        <v>1138</v>
      </c>
      <c r="B100" t="s">
        <v>1149</v>
      </c>
      <c r="C100" s="2" t="s">
        <v>250</v>
      </c>
      <c r="E100">
        <v>24830.221000000001</v>
      </c>
      <c r="G100">
        <v>4.0000000000000001E-3</v>
      </c>
      <c r="H100">
        <v>1.02</v>
      </c>
      <c r="I100" t="s">
        <v>1150</v>
      </c>
      <c r="J100" t="s">
        <v>1042</v>
      </c>
    </row>
    <row r="101" spans="1:10">
      <c r="A101" t="s">
        <v>1138</v>
      </c>
      <c r="B101" t="s">
        <v>1149</v>
      </c>
      <c r="C101" s="2" t="s">
        <v>249</v>
      </c>
      <c r="E101">
        <v>24898.804</v>
      </c>
      <c r="G101">
        <v>3.0000000000000001E-3</v>
      </c>
      <c r="H101">
        <v>1.23</v>
      </c>
      <c r="I101" t="s">
        <v>1151</v>
      </c>
      <c r="J101" t="s">
        <v>1042</v>
      </c>
    </row>
    <row r="102" spans="1:10">
      <c r="A102" t="s">
        <v>1138</v>
      </c>
      <c r="B102" t="s">
        <v>1149</v>
      </c>
      <c r="C102" s="2" t="s">
        <v>251</v>
      </c>
      <c r="E102">
        <v>24992.909</v>
      </c>
      <c r="G102">
        <v>2E-3</v>
      </c>
      <c r="H102">
        <v>1.37</v>
      </c>
      <c r="I102" t="s">
        <v>1150</v>
      </c>
      <c r="J102" t="s">
        <v>1042</v>
      </c>
    </row>
    <row r="103" spans="1:10">
      <c r="A103" t="s">
        <v>1138</v>
      </c>
      <c r="B103" t="s">
        <v>1149</v>
      </c>
      <c r="C103" s="2" t="s">
        <v>252</v>
      </c>
      <c r="E103">
        <v>25111.473000000002</v>
      </c>
      <c r="G103">
        <v>4.0000000000000001E-3</v>
      </c>
      <c r="H103">
        <v>1.41</v>
      </c>
      <c r="I103" t="s">
        <v>1151</v>
      </c>
      <c r="J103" t="s">
        <v>1042</v>
      </c>
    </row>
    <row r="104" spans="1:10">
      <c r="A104" t="s">
        <v>1138</v>
      </c>
      <c r="B104" t="s">
        <v>1149</v>
      </c>
      <c r="C104" s="2" t="s">
        <v>1702</v>
      </c>
      <c r="E104">
        <v>25253.456999999999</v>
      </c>
      <c r="G104">
        <v>2E-3</v>
      </c>
      <c r="H104">
        <v>1.41</v>
      </c>
      <c r="I104" t="s">
        <v>1150</v>
      </c>
      <c r="J104" t="s">
        <v>1042</v>
      </c>
    </row>
    <row r="105" spans="1:10">
      <c r="A105" t="s">
        <v>1138</v>
      </c>
      <c r="B105" t="s">
        <v>1152</v>
      </c>
      <c r="C105" s="2" t="s">
        <v>250</v>
      </c>
      <c r="E105">
        <v>25930.544000000002</v>
      </c>
      <c r="G105">
        <v>2E-3</v>
      </c>
      <c r="H105">
        <v>0.42</v>
      </c>
      <c r="I105" t="s">
        <v>1153</v>
      </c>
      <c r="J105" t="s">
        <v>1042</v>
      </c>
    </row>
    <row r="106" spans="1:10">
      <c r="A106" t="s">
        <v>1138</v>
      </c>
      <c r="B106" t="s">
        <v>1152</v>
      </c>
      <c r="C106" s="2" t="s">
        <v>249</v>
      </c>
      <c r="E106">
        <v>26004.234</v>
      </c>
      <c r="G106">
        <v>1E-3</v>
      </c>
      <c r="H106">
        <v>0.98</v>
      </c>
      <c r="I106" t="s">
        <v>1154</v>
      </c>
      <c r="J106" t="s">
        <v>1042</v>
      </c>
    </row>
    <row r="107" spans="1:10">
      <c r="A107" t="s">
        <v>1138</v>
      </c>
      <c r="B107" t="s">
        <v>1152</v>
      </c>
      <c r="C107" s="2" t="s">
        <v>251</v>
      </c>
      <c r="E107">
        <v>26122.094000000001</v>
      </c>
      <c r="F107" t="s">
        <v>1155</v>
      </c>
      <c r="G107">
        <v>1.1999999999999999E-3</v>
      </c>
      <c r="H107">
        <v>1.1499999999999999</v>
      </c>
      <c r="I107" t="s">
        <v>1156</v>
      </c>
      <c r="J107" t="s">
        <v>1042</v>
      </c>
    </row>
    <row r="108" spans="1:10">
      <c r="A108" t="s">
        <v>1138</v>
      </c>
      <c r="B108" t="s">
        <v>1152</v>
      </c>
      <c r="C108" s="2" t="s">
        <v>252</v>
      </c>
      <c r="E108">
        <v>26171.918000000001</v>
      </c>
      <c r="G108">
        <v>1E-3</v>
      </c>
      <c r="H108">
        <v>1.23</v>
      </c>
      <c r="I108" t="s">
        <v>1157</v>
      </c>
      <c r="J108" t="s">
        <v>1042</v>
      </c>
    </row>
    <row r="109" spans="1:10">
      <c r="A109" t="s">
        <v>1071</v>
      </c>
      <c r="B109" t="s">
        <v>1158</v>
      </c>
      <c r="C109" s="2" t="s">
        <v>251</v>
      </c>
      <c r="E109">
        <v>26021.906999999999</v>
      </c>
      <c r="G109">
        <v>2E-3</v>
      </c>
      <c r="H109">
        <v>0.92</v>
      </c>
      <c r="I109" t="s">
        <v>1159</v>
      </c>
      <c r="J109" t="s">
        <v>1042</v>
      </c>
    </row>
    <row r="110" spans="1:10">
      <c r="A110" t="s">
        <v>1071</v>
      </c>
      <c r="B110" t="s">
        <v>1158</v>
      </c>
      <c r="C110" s="2" t="s">
        <v>252</v>
      </c>
      <c r="E110">
        <v>26344.901999999998</v>
      </c>
      <c r="G110">
        <v>1.1000000000000001E-3</v>
      </c>
      <c r="H110">
        <v>1.1299999999999999</v>
      </c>
      <c r="I110" t="s">
        <v>1160</v>
      </c>
      <c r="J110" t="s">
        <v>1042</v>
      </c>
    </row>
    <row r="111" spans="1:10">
      <c r="A111" t="s">
        <v>1138</v>
      </c>
      <c r="B111" t="s">
        <v>1161</v>
      </c>
      <c r="C111" s="2" t="s">
        <v>248</v>
      </c>
      <c r="E111">
        <v>26182.636999999999</v>
      </c>
      <c r="G111">
        <v>1.4E-3</v>
      </c>
      <c r="H111">
        <v>-0.06</v>
      </c>
      <c r="I111" t="s">
        <v>1162</v>
      </c>
      <c r="J111" t="s">
        <v>1042</v>
      </c>
    </row>
    <row r="112" spans="1:10">
      <c r="A112" t="s">
        <v>1138</v>
      </c>
      <c r="B112" t="s">
        <v>1161</v>
      </c>
      <c r="C112" s="2" t="s">
        <v>250</v>
      </c>
      <c r="E112">
        <v>26249.475999999999</v>
      </c>
      <c r="G112">
        <v>1.4E-3</v>
      </c>
      <c r="H112">
        <v>1.17</v>
      </c>
      <c r="I112" t="s">
        <v>1162</v>
      </c>
      <c r="J112" t="s">
        <v>1042</v>
      </c>
    </row>
    <row r="113" spans="1:10">
      <c r="A113" t="s">
        <v>1138</v>
      </c>
      <c r="B113" t="s">
        <v>1161</v>
      </c>
      <c r="C113" s="2" t="s">
        <v>249</v>
      </c>
      <c r="E113">
        <v>26352.633999999998</v>
      </c>
      <c r="G113">
        <v>1.4E-3</v>
      </c>
      <c r="H113">
        <v>1.34</v>
      </c>
      <c r="I113" t="s">
        <v>1163</v>
      </c>
      <c r="J113" t="s">
        <v>1042</v>
      </c>
    </row>
    <row r="114" spans="1:10">
      <c r="A114" t="s">
        <v>1138</v>
      </c>
      <c r="B114" t="s">
        <v>1161</v>
      </c>
      <c r="C114" s="2" t="s">
        <v>251</v>
      </c>
      <c r="E114">
        <v>26480.286</v>
      </c>
      <c r="F114" t="s">
        <v>1155</v>
      </c>
      <c r="G114">
        <v>2E-3</v>
      </c>
      <c r="H114">
        <v>1.39</v>
      </c>
      <c r="I114" t="s">
        <v>1164</v>
      </c>
      <c r="J114" t="s">
        <v>1042</v>
      </c>
    </row>
    <row r="115" spans="1:10">
      <c r="A115" t="s">
        <v>1165</v>
      </c>
      <c r="B115" t="s">
        <v>209</v>
      </c>
      <c r="C115" s="2" t="s">
        <v>249</v>
      </c>
      <c r="E115">
        <v>26196.031999999999</v>
      </c>
      <c r="G115">
        <v>6.0000000000000001E-3</v>
      </c>
      <c r="I115" t="s">
        <v>1166</v>
      </c>
      <c r="J115" t="s">
        <v>1097</v>
      </c>
    </row>
    <row r="116" spans="1:10">
      <c r="A116" t="s">
        <v>1165</v>
      </c>
      <c r="B116" t="s">
        <v>209</v>
      </c>
      <c r="C116" s="2" t="s">
        <v>250</v>
      </c>
      <c r="E116">
        <v>26206.803</v>
      </c>
      <c r="G116">
        <v>6.0000000000000001E-3</v>
      </c>
      <c r="I116" t="s">
        <v>1167</v>
      </c>
      <c r="J116" t="s">
        <v>1097</v>
      </c>
    </row>
    <row r="117" spans="1:10">
      <c r="A117" t="s">
        <v>1138</v>
      </c>
      <c r="B117" t="s">
        <v>1168</v>
      </c>
      <c r="C117" s="2" t="s">
        <v>248</v>
      </c>
      <c r="E117">
        <v>26397.633000000002</v>
      </c>
      <c r="G117">
        <v>5.0000000000000001E-3</v>
      </c>
      <c r="H117">
        <v>3.25</v>
      </c>
      <c r="I117" t="s">
        <v>1169</v>
      </c>
      <c r="J117" t="s">
        <v>1042</v>
      </c>
    </row>
    <row r="118" spans="1:10">
      <c r="A118" t="s">
        <v>1138</v>
      </c>
      <c r="B118" t="s">
        <v>1168</v>
      </c>
      <c r="C118" s="2" t="s">
        <v>250</v>
      </c>
      <c r="E118">
        <v>26437.754000000001</v>
      </c>
      <c r="G118">
        <v>2E-3</v>
      </c>
      <c r="H118">
        <v>1.86</v>
      </c>
      <c r="I118" t="s">
        <v>1170</v>
      </c>
      <c r="J118" t="s">
        <v>1042</v>
      </c>
    </row>
    <row r="119" spans="1:10">
      <c r="A119" t="s">
        <v>1138</v>
      </c>
      <c r="B119" t="s">
        <v>1168</v>
      </c>
      <c r="C119" s="2" t="s">
        <v>249</v>
      </c>
      <c r="E119">
        <v>26505.953000000001</v>
      </c>
      <c r="G119">
        <v>4.0000000000000001E-3</v>
      </c>
      <c r="H119">
        <v>1.59</v>
      </c>
      <c r="I119" t="s">
        <v>1171</v>
      </c>
      <c r="J119" t="s">
        <v>1042</v>
      </c>
    </row>
    <row r="120" spans="1:10">
      <c r="A120" t="s">
        <v>1138</v>
      </c>
      <c r="B120" t="s">
        <v>1168</v>
      </c>
      <c r="C120" s="2" t="s">
        <v>251</v>
      </c>
      <c r="E120">
        <v>26604.807000000001</v>
      </c>
      <c r="F120" t="s">
        <v>1155</v>
      </c>
      <c r="G120">
        <v>5.0000000000000001E-3</v>
      </c>
      <c r="H120">
        <v>1.58</v>
      </c>
      <c r="I120" t="s">
        <v>1172</v>
      </c>
      <c r="J120" t="s">
        <v>1042</v>
      </c>
    </row>
    <row r="121" spans="1:10">
      <c r="A121" t="s">
        <v>1138</v>
      </c>
      <c r="B121" t="s">
        <v>1168</v>
      </c>
      <c r="C121" s="2" t="s">
        <v>252</v>
      </c>
      <c r="E121">
        <v>26738.323</v>
      </c>
      <c r="G121">
        <v>2E-3</v>
      </c>
      <c r="H121">
        <v>1.5</v>
      </c>
      <c r="I121" t="s">
        <v>1173</v>
      </c>
      <c r="J121" t="s">
        <v>1042</v>
      </c>
    </row>
    <row r="122" spans="1:10">
      <c r="A122" t="s">
        <v>1071</v>
      </c>
      <c r="B122" t="s">
        <v>1174</v>
      </c>
      <c r="C122" s="2" t="s">
        <v>249</v>
      </c>
      <c r="E122">
        <v>27187.746999999999</v>
      </c>
      <c r="G122">
        <v>2E-3</v>
      </c>
      <c r="H122" t="s">
        <v>1175</v>
      </c>
      <c r="I122" t="s">
        <v>1176</v>
      </c>
      <c r="J122" t="s">
        <v>1128</v>
      </c>
    </row>
    <row r="123" spans="1:10">
      <c r="A123" t="s">
        <v>1071</v>
      </c>
      <c r="B123" t="s">
        <v>1174</v>
      </c>
      <c r="C123" s="2" t="s">
        <v>251</v>
      </c>
      <c r="E123">
        <v>27470.79</v>
      </c>
      <c r="G123">
        <v>3.0000000000000001E-3</v>
      </c>
      <c r="H123">
        <v>1.01</v>
      </c>
      <c r="I123" t="s">
        <v>1177</v>
      </c>
      <c r="J123" t="s">
        <v>1042</v>
      </c>
    </row>
    <row r="124" spans="1:10">
      <c r="A124" t="s">
        <v>1178</v>
      </c>
      <c r="B124" t="s">
        <v>1179</v>
      </c>
      <c r="C124" s="2" t="s">
        <v>248</v>
      </c>
      <c r="E124">
        <v>28313.626</v>
      </c>
      <c r="G124">
        <v>2E-3</v>
      </c>
      <c r="H124">
        <v>3.23</v>
      </c>
      <c r="I124" t="s">
        <v>1180</v>
      </c>
      <c r="J124" t="s">
        <v>1042</v>
      </c>
    </row>
    <row r="125" spans="1:10">
      <c r="A125" t="s">
        <v>1178</v>
      </c>
      <c r="B125" t="s">
        <v>1179</v>
      </c>
      <c r="C125" s="2" t="s">
        <v>250</v>
      </c>
      <c r="E125">
        <v>28368.753000000001</v>
      </c>
      <c r="G125">
        <v>2E-3</v>
      </c>
      <c r="H125">
        <v>1.82</v>
      </c>
      <c r="I125" t="s">
        <v>1181</v>
      </c>
      <c r="J125" t="s">
        <v>1042</v>
      </c>
    </row>
    <row r="126" spans="1:10">
      <c r="A126" t="s">
        <v>1178</v>
      </c>
      <c r="B126" t="s">
        <v>1179</v>
      </c>
      <c r="C126" s="2" t="s">
        <v>249</v>
      </c>
      <c r="E126">
        <v>28462.177</v>
      </c>
      <c r="G126">
        <v>5.0000000000000001E-3</v>
      </c>
      <c r="H126">
        <v>1.58</v>
      </c>
      <c r="I126" t="s">
        <v>1181</v>
      </c>
      <c r="J126" t="s">
        <v>1042</v>
      </c>
    </row>
    <row r="127" spans="1:10">
      <c r="A127" t="s">
        <v>1178</v>
      </c>
      <c r="B127" t="s">
        <v>1179</v>
      </c>
      <c r="C127" s="2" t="s">
        <v>251</v>
      </c>
      <c r="E127">
        <v>28595.636999999999</v>
      </c>
      <c r="G127">
        <v>4.0000000000000001E-3</v>
      </c>
      <c r="H127">
        <v>1.52</v>
      </c>
      <c r="I127" t="s">
        <v>1180</v>
      </c>
      <c r="J127" t="s">
        <v>1042</v>
      </c>
    </row>
    <row r="128" spans="1:10">
      <c r="A128" t="s">
        <v>1178</v>
      </c>
      <c r="B128" t="s">
        <v>1179</v>
      </c>
      <c r="C128" s="2" t="s">
        <v>252</v>
      </c>
      <c r="E128">
        <v>28768.142</v>
      </c>
      <c r="G128">
        <v>5.0000000000000001E-3</v>
      </c>
      <c r="H128">
        <v>1.47</v>
      </c>
      <c r="I128" t="s">
        <v>1181</v>
      </c>
      <c r="J128" t="s">
        <v>1042</v>
      </c>
    </row>
    <row r="129" spans="1:10">
      <c r="A129" t="s">
        <v>1178</v>
      </c>
      <c r="B129" t="s">
        <v>1182</v>
      </c>
      <c r="C129" s="2" t="s">
        <v>250</v>
      </c>
      <c r="E129">
        <v>29202.79</v>
      </c>
      <c r="G129">
        <v>4.0000000000000001E-3</v>
      </c>
      <c r="H129">
        <v>2.3199999999999998</v>
      </c>
      <c r="I129" t="s">
        <v>1183</v>
      </c>
      <c r="J129" t="s">
        <v>1042</v>
      </c>
    </row>
    <row r="130" spans="1:10">
      <c r="A130" t="s">
        <v>1178</v>
      </c>
      <c r="B130" t="s">
        <v>1182</v>
      </c>
      <c r="C130" s="2" t="s">
        <v>249</v>
      </c>
      <c r="E130">
        <v>29296.43</v>
      </c>
      <c r="G130">
        <v>2E-3</v>
      </c>
      <c r="H130">
        <v>1.76</v>
      </c>
      <c r="I130" t="s">
        <v>1183</v>
      </c>
      <c r="J130" t="s">
        <v>1042</v>
      </c>
    </row>
    <row r="131" spans="1:10">
      <c r="A131" t="s">
        <v>1178</v>
      </c>
      <c r="B131" t="s">
        <v>1182</v>
      </c>
      <c r="C131" s="2" t="s">
        <v>251</v>
      </c>
      <c r="E131">
        <v>29418.118999999999</v>
      </c>
      <c r="G131">
        <v>2E-3</v>
      </c>
      <c r="H131">
        <v>1.62</v>
      </c>
      <c r="I131" t="s">
        <v>1183</v>
      </c>
      <c r="J131" t="s">
        <v>1042</v>
      </c>
    </row>
    <row r="132" spans="1:10">
      <c r="A132" t="s">
        <v>1178</v>
      </c>
      <c r="B132" t="s">
        <v>1184</v>
      </c>
      <c r="C132" s="2" t="s">
        <v>248</v>
      </c>
      <c r="E132">
        <v>30021.627</v>
      </c>
      <c r="G132">
        <v>3.0000000000000001E-3</v>
      </c>
      <c r="H132">
        <v>2.67</v>
      </c>
      <c r="I132" t="s">
        <v>1185</v>
      </c>
      <c r="J132" t="s">
        <v>1042</v>
      </c>
    </row>
    <row r="133" spans="1:10">
      <c r="A133" t="s">
        <v>1178</v>
      </c>
      <c r="B133" t="s">
        <v>1184</v>
      </c>
      <c r="C133" s="2" t="s">
        <v>250</v>
      </c>
      <c r="E133">
        <v>30094.584999999999</v>
      </c>
      <c r="G133">
        <v>2E-3</v>
      </c>
      <c r="H133">
        <v>1.74</v>
      </c>
      <c r="I133" t="s">
        <v>1186</v>
      </c>
      <c r="J133" t="s">
        <v>1042</v>
      </c>
    </row>
    <row r="134" spans="1:10">
      <c r="A134" t="s">
        <v>1178</v>
      </c>
      <c r="B134" t="s">
        <v>1184</v>
      </c>
      <c r="C134" s="2" t="s">
        <v>249</v>
      </c>
      <c r="E134">
        <v>30120.823</v>
      </c>
      <c r="G134">
        <v>3.0000000000000001E-3</v>
      </c>
      <c r="H134">
        <v>1.67</v>
      </c>
      <c r="I134" t="s">
        <v>1187</v>
      </c>
      <c r="J134" t="s">
        <v>1042</v>
      </c>
    </row>
    <row r="135" spans="1:10">
      <c r="A135" t="s">
        <v>1188</v>
      </c>
      <c r="B135" t="s">
        <v>1189</v>
      </c>
      <c r="C135" s="2" t="s">
        <v>249</v>
      </c>
      <c r="E135">
        <v>30635.58</v>
      </c>
      <c r="G135">
        <v>2E-3</v>
      </c>
      <c r="H135">
        <v>0.53</v>
      </c>
      <c r="I135" t="s">
        <v>1190</v>
      </c>
      <c r="J135" t="s">
        <v>1042</v>
      </c>
    </row>
    <row r="136" spans="1:10">
      <c r="A136" t="s">
        <v>1188</v>
      </c>
      <c r="B136" t="s">
        <v>1189</v>
      </c>
      <c r="C136" s="2" t="s">
        <v>251</v>
      </c>
      <c r="E136">
        <v>30694.344000000001</v>
      </c>
      <c r="G136">
        <v>2E-3</v>
      </c>
      <c r="H136">
        <v>0.93</v>
      </c>
      <c r="I136" t="s">
        <v>1191</v>
      </c>
      <c r="J136" t="s">
        <v>1042</v>
      </c>
    </row>
    <row r="137" spans="1:10">
      <c r="A137" t="s">
        <v>1188</v>
      </c>
      <c r="B137" t="s">
        <v>1189</v>
      </c>
      <c r="C137" s="2" t="s">
        <v>252</v>
      </c>
      <c r="E137">
        <v>30771.732</v>
      </c>
      <c r="G137">
        <v>5.0000000000000001E-3</v>
      </c>
      <c r="H137">
        <v>1.1299999999999999</v>
      </c>
      <c r="I137" t="s">
        <v>1192</v>
      </c>
      <c r="J137" t="s">
        <v>1042</v>
      </c>
    </row>
    <row r="138" spans="1:10">
      <c r="A138" t="s">
        <v>1188</v>
      </c>
      <c r="B138" t="s">
        <v>1189</v>
      </c>
      <c r="C138" s="2" t="s">
        <v>1702</v>
      </c>
      <c r="E138">
        <v>30864.278999999999</v>
      </c>
      <c r="G138">
        <v>4.0000000000000001E-3</v>
      </c>
      <c r="H138">
        <v>1.21</v>
      </c>
      <c r="I138" t="s">
        <v>1193</v>
      </c>
      <c r="J138" t="s">
        <v>1042</v>
      </c>
    </row>
    <row r="139" spans="1:10">
      <c r="A139" t="s">
        <v>1178</v>
      </c>
      <c r="B139" t="s">
        <v>1194</v>
      </c>
      <c r="C139" s="2" t="s">
        <v>249</v>
      </c>
      <c r="E139">
        <v>30832.661</v>
      </c>
      <c r="G139">
        <v>8.9999999999999993E-3</v>
      </c>
      <c r="I139" t="s">
        <v>1195</v>
      </c>
      <c r="J139" t="s">
        <v>1097</v>
      </c>
    </row>
    <row r="140" spans="1:10">
      <c r="A140" t="s">
        <v>1188</v>
      </c>
      <c r="B140" t="s">
        <v>1196</v>
      </c>
      <c r="C140" s="2" t="s">
        <v>250</v>
      </c>
      <c r="E140">
        <v>31200.151999999998</v>
      </c>
      <c r="G140">
        <v>2E-3</v>
      </c>
      <c r="H140">
        <v>0.38</v>
      </c>
      <c r="I140" t="s">
        <v>1197</v>
      </c>
      <c r="J140" t="s">
        <v>1042</v>
      </c>
    </row>
    <row r="141" spans="1:10">
      <c r="A141" t="s">
        <v>1188</v>
      </c>
      <c r="B141" t="s">
        <v>1196</v>
      </c>
      <c r="C141" s="2" t="s">
        <v>249</v>
      </c>
      <c r="E141">
        <v>31229.013999999999</v>
      </c>
      <c r="G141">
        <v>2E-3</v>
      </c>
      <c r="H141">
        <v>1.01</v>
      </c>
      <c r="I141" t="s">
        <v>1198</v>
      </c>
      <c r="J141" t="s">
        <v>1042</v>
      </c>
    </row>
    <row r="142" spans="1:10">
      <c r="A142" t="s">
        <v>1188</v>
      </c>
      <c r="B142" t="s">
        <v>1196</v>
      </c>
      <c r="C142" s="2" t="s">
        <v>251</v>
      </c>
      <c r="E142">
        <v>31268.091</v>
      </c>
      <c r="G142">
        <v>3.0000000000000001E-3</v>
      </c>
      <c r="H142">
        <v>1.21</v>
      </c>
      <c r="I142" t="s">
        <v>1199</v>
      </c>
      <c r="J142" t="s">
        <v>1042</v>
      </c>
    </row>
    <row r="143" spans="1:10">
      <c r="A143" t="s">
        <v>1188</v>
      </c>
      <c r="B143" t="s">
        <v>1196</v>
      </c>
      <c r="C143" s="2" t="s">
        <v>252</v>
      </c>
      <c r="E143">
        <v>31317.439999999999</v>
      </c>
      <c r="G143">
        <v>5.0000000000000001E-3</v>
      </c>
      <c r="H143">
        <v>1.32</v>
      </c>
      <c r="I143" t="s">
        <v>1200</v>
      </c>
      <c r="J143" t="s">
        <v>1042</v>
      </c>
    </row>
    <row r="144" spans="1:10">
      <c r="A144" t="s">
        <v>1201</v>
      </c>
      <c r="B144" t="s">
        <v>576</v>
      </c>
      <c r="C144" s="2" t="s">
        <v>250</v>
      </c>
      <c r="E144">
        <v>31334.103999999999</v>
      </c>
      <c r="G144">
        <v>3.0000000000000001E-3</v>
      </c>
      <c r="I144" t="s">
        <v>1202</v>
      </c>
      <c r="J144" t="s">
        <v>1097</v>
      </c>
    </row>
    <row r="145" spans="1:10">
      <c r="A145" t="s">
        <v>1201</v>
      </c>
      <c r="B145" t="s">
        <v>576</v>
      </c>
      <c r="C145" s="2" t="s">
        <v>252</v>
      </c>
      <c r="E145">
        <v>31355.71</v>
      </c>
      <c r="G145">
        <v>4.0000000000000001E-3</v>
      </c>
      <c r="I145" t="s">
        <v>1203</v>
      </c>
      <c r="J145" t="s">
        <v>1097</v>
      </c>
    </row>
    <row r="146" spans="1:10">
      <c r="A146" t="s">
        <v>1201</v>
      </c>
      <c r="B146" t="s">
        <v>576</v>
      </c>
      <c r="C146" s="2" t="s">
        <v>249</v>
      </c>
      <c r="E146">
        <v>31357.438999999998</v>
      </c>
      <c r="G146">
        <v>2E-3</v>
      </c>
      <c r="I146" t="s">
        <v>1204</v>
      </c>
      <c r="J146" t="s">
        <v>1097</v>
      </c>
    </row>
    <row r="147" spans="1:10">
      <c r="A147" t="s">
        <v>1201</v>
      </c>
      <c r="B147" t="s">
        <v>576</v>
      </c>
      <c r="C147" s="2" t="s">
        <v>251</v>
      </c>
      <c r="E147">
        <v>31371.087</v>
      </c>
      <c r="G147">
        <v>4.0000000000000001E-3</v>
      </c>
      <c r="I147" t="s">
        <v>1205</v>
      </c>
      <c r="J147" t="s">
        <v>1097</v>
      </c>
    </row>
    <row r="148" spans="1:10">
      <c r="A148" t="s">
        <v>1206</v>
      </c>
      <c r="B148" t="s">
        <v>1207</v>
      </c>
      <c r="C148" s="2" t="s">
        <v>249</v>
      </c>
      <c r="E148">
        <v>31397.822</v>
      </c>
      <c r="G148">
        <v>4.0000000000000001E-3</v>
      </c>
      <c r="H148">
        <v>0.53</v>
      </c>
      <c r="I148" t="s">
        <v>1208</v>
      </c>
      <c r="J148" t="s">
        <v>1042</v>
      </c>
    </row>
    <row r="149" spans="1:10">
      <c r="A149" t="s">
        <v>1206</v>
      </c>
      <c r="B149" t="s">
        <v>1207</v>
      </c>
      <c r="C149" s="2" t="s">
        <v>251</v>
      </c>
      <c r="E149">
        <v>31541.167000000001</v>
      </c>
      <c r="G149">
        <v>2E-3</v>
      </c>
      <c r="H149">
        <v>0.95</v>
      </c>
      <c r="I149" t="s">
        <v>1209</v>
      </c>
      <c r="J149" t="s">
        <v>1042</v>
      </c>
    </row>
    <row r="150" spans="1:10">
      <c r="A150" t="s">
        <v>1206</v>
      </c>
      <c r="B150" t="s">
        <v>1207</v>
      </c>
      <c r="C150" s="2" t="s">
        <v>252</v>
      </c>
      <c r="E150">
        <v>31721.78</v>
      </c>
      <c r="G150">
        <v>2E-3</v>
      </c>
      <c r="H150">
        <v>1.1200000000000001</v>
      </c>
      <c r="I150" t="s">
        <v>1210</v>
      </c>
      <c r="J150" t="s">
        <v>1042</v>
      </c>
    </row>
    <row r="151" spans="1:10">
      <c r="A151" t="s">
        <v>1206</v>
      </c>
      <c r="B151" t="s">
        <v>1207</v>
      </c>
      <c r="C151" s="2" t="s">
        <v>1702</v>
      </c>
      <c r="E151">
        <v>31937.131000000001</v>
      </c>
      <c r="G151">
        <v>2E-3</v>
      </c>
      <c r="H151">
        <v>1.2</v>
      </c>
      <c r="I151" t="s">
        <v>1211</v>
      </c>
      <c r="J151" t="s">
        <v>1042</v>
      </c>
    </row>
    <row r="152" spans="1:10">
      <c r="A152" t="s">
        <v>1212</v>
      </c>
      <c r="B152" t="s">
        <v>586</v>
      </c>
      <c r="C152" s="2" t="s">
        <v>249</v>
      </c>
      <c r="E152">
        <v>31624.805</v>
      </c>
      <c r="G152">
        <v>1.2999999999999999E-3</v>
      </c>
      <c r="I152" t="s">
        <v>1213</v>
      </c>
      <c r="J152" t="s">
        <v>1097</v>
      </c>
    </row>
    <row r="153" spans="1:10">
      <c r="A153" t="s">
        <v>1212</v>
      </c>
      <c r="B153" t="s">
        <v>586</v>
      </c>
      <c r="C153" s="2" t="s">
        <v>250</v>
      </c>
      <c r="E153">
        <v>31717.485000000001</v>
      </c>
      <c r="G153">
        <v>2E-3</v>
      </c>
      <c r="I153" t="s">
        <v>1214</v>
      </c>
      <c r="J153" t="s">
        <v>1097</v>
      </c>
    </row>
    <row r="154" spans="1:10">
      <c r="A154" t="s">
        <v>1212</v>
      </c>
      <c r="B154" t="s">
        <v>586</v>
      </c>
      <c r="C154" s="2" t="s">
        <v>248</v>
      </c>
      <c r="E154">
        <v>31764.978999999999</v>
      </c>
      <c r="G154">
        <v>2E-3</v>
      </c>
      <c r="I154" t="s">
        <v>1215</v>
      </c>
      <c r="J154" t="s">
        <v>1097</v>
      </c>
    </row>
    <row r="155" spans="1:10">
      <c r="A155" t="s">
        <v>1216</v>
      </c>
      <c r="B155" t="s">
        <v>619</v>
      </c>
      <c r="C155" s="2" t="s">
        <v>248</v>
      </c>
      <c r="E155">
        <v>31786.206999999999</v>
      </c>
      <c r="F155" t="s">
        <v>1155</v>
      </c>
      <c r="G155">
        <v>3.0000000000000001E-3</v>
      </c>
      <c r="H155">
        <v>2.2999999999999998</v>
      </c>
      <c r="I155" t="s">
        <v>1217</v>
      </c>
      <c r="J155" t="s">
        <v>1042</v>
      </c>
    </row>
    <row r="156" spans="1:10">
      <c r="A156" t="s">
        <v>1218</v>
      </c>
      <c r="B156" t="s">
        <v>1219</v>
      </c>
      <c r="C156" s="2" t="s">
        <v>248</v>
      </c>
      <c r="E156">
        <v>31962.264999999999</v>
      </c>
      <c r="G156">
        <v>2E-3</v>
      </c>
      <c r="H156">
        <v>2.21</v>
      </c>
      <c r="I156" t="s">
        <v>1220</v>
      </c>
      <c r="J156" t="s">
        <v>1042</v>
      </c>
    </row>
    <row r="157" spans="1:10">
      <c r="A157" t="s">
        <v>1216</v>
      </c>
      <c r="B157" t="s">
        <v>1221</v>
      </c>
      <c r="C157" s="2" t="s">
        <v>248</v>
      </c>
      <c r="E157">
        <v>32348.987000000001</v>
      </c>
      <c r="G157">
        <v>6.0000000000000001E-3</v>
      </c>
      <c r="H157">
        <v>0.08</v>
      </c>
      <c r="I157" t="s">
        <v>1222</v>
      </c>
      <c r="J157" t="s">
        <v>1042</v>
      </c>
    </row>
    <row r="158" spans="1:10">
      <c r="A158" t="s">
        <v>1216</v>
      </c>
      <c r="B158" t="s">
        <v>1221</v>
      </c>
      <c r="C158" s="2" t="s">
        <v>250</v>
      </c>
      <c r="E158">
        <v>32456.580999999998</v>
      </c>
      <c r="G158">
        <v>2E-3</v>
      </c>
      <c r="H158">
        <v>1.17</v>
      </c>
      <c r="I158" t="s">
        <v>1223</v>
      </c>
      <c r="J158" t="s">
        <v>1042</v>
      </c>
    </row>
    <row r="159" spans="1:10">
      <c r="A159" t="s">
        <v>1216</v>
      </c>
      <c r="B159" t="s">
        <v>1221</v>
      </c>
      <c r="C159" s="2" t="s">
        <v>249</v>
      </c>
      <c r="E159">
        <v>32660.416000000001</v>
      </c>
      <c r="G159">
        <v>2E-3</v>
      </c>
      <c r="H159">
        <v>1.29</v>
      </c>
      <c r="I159" t="s">
        <v>1224</v>
      </c>
      <c r="J159" t="s">
        <v>1042</v>
      </c>
    </row>
    <row r="160" spans="1:10">
      <c r="A160" t="s">
        <v>1216</v>
      </c>
      <c r="B160" t="s">
        <v>1221</v>
      </c>
      <c r="C160" s="2" t="s">
        <v>251</v>
      </c>
      <c r="E160">
        <v>32891.012999999999</v>
      </c>
      <c r="G160">
        <v>2E-3</v>
      </c>
      <c r="H160">
        <v>1.35</v>
      </c>
      <c r="I160" t="s">
        <v>1225</v>
      </c>
      <c r="J160" t="s">
        <v>1042</v>
      </c>
    </row>
    <row r="161" spans="1:10">
      <c r="A161" t="s">
        <v>1094</v>
      </c>
      <c r="B161" t="s">
        <v>651</v>
      </c>
      <c r="C161" s="2" t="s">
        <v>249</v>
      </c>
      <c r="E161">
        <v>32352.337</v>
      </c>
      <c r="G161">
        <v>1E-3</v>
      </c>
      <c r="I161" t="s">
        <v>1226</v>
      </c>
      <c r="J161" t="s">
        <v>1097</v>
      </c>
    </row>
    <row r="162" spans="1:10">
      <c r="A162" t="s">
        <v>1094</v>
      </c>
      <c r="B162" t="s">
        <v>651</v>
      </c>
      <c r="C162" s="2" t="s">
        <v>251</v>
      </c>
      <c r="E162">
        <v>32371.662</v>
      </c>
      <c r="G162">
        <v>1E-3</v>
      </c>
      <c r="I162" t="s">
        <v>1227</v>
      </c>
      <c r="J162" t="s">
        <v>1097</v>
      </c>
    </row>
    <row r="163" spans="1:10">
      <c r="A163" t="s">
        <v>1094</v>
      </c>
      <c r="B163" t="s">
        <v>651</v>
      </c>
      <c r="C163" s="2" t="s">
        <v>252</v>
      </c>
      <c r="E163">
        <v>32393.954000000002</v>
      </c>
      <c r="G163">
        <v>1.2999999999999999E-3</v>
      </c>
      <c r="I163" t="s">
        <v>1227</v>
      </c>
      <c r="J163" t="s">
        <v>1097</v>
      </c>
    </row>
    <row r="164" spans="1:10">
      <c r="A164" t="s">
        <v>1094</v>
      </c>
      <c r="B164" t="s">
        <v>651</v>
      </c>
      <c r="C164" s="2" t="s">
        <v>1702</v>
      </c>
      <c r="E164">
        <v>32417.169000000002</v>
      </c>
      <c r="G164">
        <v>2E-3</v>
      </c>
      <c r="I164" t="s">
        <v>1227</v>
      </c>
      <c r="J164" t="s">
        <v>1097</v>
      </c>
    </row>
    <row r="165" spans="1:10">
      <c r="A165" t="s">
        <v>1228</v>
      </c>
      <c r="B165" t="s">
        <v>1229</v>
      </c>
      <c r="C165" s="2" t="s">
        <v>251</v>
      </c>
      <c r="E165">
        <v>32692.042000000001</v>
      </c>
      <c r="G165">
        <v>2E-3</v>
      </c>
      <c r="H165">
        <v>0.68</v>
      </c>
      <c r="I165" t="s">
        <v>1230</v>
      </c>
      <c r="J165" t="s">
        <v>1042</v>
      </c>
    </row>
    <row r="166" spans="1:10">
      <c r="A166" t="s">
        <v>1228</v>
      </c>
      <c r="B166" t="s">
        <v>1229</v>
      </c>
      <c r="C166" s="2" t="s">
        <v>252</v>
      </c>
      <c r="E166">
        <v>32788.180999999997</v>
      </c>
      <c r="G166">
        <v>4.0000000000000001E-3</v>
      </c>
      <c r="H166">
        <v>0.98</v>
      </c>
      <c r="I166" t="s">
        <v>1231</v>
      </c>
      <c r="J166" t="s">
        <v>1042</v>
      </c>
    </row>
    <row r="167" spans="1:10">
      <c r="A167" t="s">
        <v>1228</v>
      </c>
      <c r="B167" t="s">
        <v>1229</v>
      </c>
      <c r="C167" s="2" t="s">
        <v>1702</v>
      </c>
      <c r="E167">
        <v>32897.898000000001</v>
      </c>
      <c r="G167">
        <v>4.0000000000000001E-3</v>
      </c>
      <c r="H167">
        <v>1.1100000000000001</v>
      </c>
      <c r="I167" t="s">
        <v>1232</v>
      </c>
      <c r="J167" t="s">
        <v>1042</v>
      </c>
    </row>
    <row r="168" spans="1:10">
      <c r="A168" t="s">
        <v>1228</v>
      </c>
      <c r="B168" t="s">
        <v>1229</v>
      </c>
      <c r="C168" s="2" t="s">
        <v>720</v>
      </c>
      <c r="E168">
        <v>32963.923999999999</v>
      </c>
      <c r="G168">
        <v>2E-3</v>
      </c>
      <c r="H168">
        <v>1.21</v>
      </c>
      <c r="I168" t="s">
        <v>1233</v>
      </c>
      <c r="J168" t="s">
        <v>1042</v>
      </c>
    </row>
    <row r="169" spans="1:10">
      <c r="A169" t="s">
        <v>1178</v>
      </c>
      <c r="B169" t="s">
        <v>1234</v>
      </c>
      <c r="C169" s="2" t="s">
        <v>248</v>
      </c>
      <c r="E169">
        <v>32724.800999999999</v>
      </c>
      <c r="G169">
        <v>6.0000000000000001E-3</v>
      </c>
      <c r="H169" t="s">
        <v>1235</v>
      </c>
      <c r="I169" t="s">
        <v>1236</v>
      </c>
      <c r="J169" t="s">
        <v>1042</v>
      </c>
    </row>
    <row r="170" spans="1:10">
      <c r="A170" t="s">
        <v>1178</v>
      </c>
      <c r="B170" t="s">
        <v>1234</v>
      </c>
      <c r="C170" s="2" t="s">
        <v>250</v>
      </c>
      <c r="E170">
        <v>32767.911</v>
      </c>
      <c r="G170">
        <v>2E-3</v>
      </c>
      <c r="H170">
        <v>1.22</v>
      </c>
      <c r="I170" t="s">
        <v>1237</v>
      </c>
      <c r="J170" t="s">
        <v>1042</v>
      </c>
    </row>
    <row r="171" spans="1:10">
      <c r="A171" t="s">
        <v>1206</v>
      </c>
      <c r="B171" t="s">
        <v>1238</v>
      </c>
      <c r="C171" s="2" t="s">
        <v>250</v>
      </c>
      <c r="E171">
        <v>32738.13</v>
      </c>
      <c r="G171">
        <v>3.0000000000000001E-3</v>
      </c>
      <c r="H171">
        <v>0.52</v>
      </c>
      <c r="I171" t="s">
        <v>1239</v>
      </c>
      <c r="J171" t="s">
        <v>1042</v>
      </c>
    </row>
    <row r="172" spans="1:10">
      <c r="A172" t="s">
        <v>1206</v>
      </c>
      <c r="B172" t="s">
        <v>1238</v>
      </c>
      <c r="C172" s="2" t="s">
        <v>249</v>
      </c>
      <c r="E172">
        <v>32846.822</v>
      </c>
      <c r="G172">
        <v>1E-3</v>
      </c>
      <c r="H172">
        <v>1.01</v>
      </c>
      <c r="I172" t="s">
        <v>1240</v>
      </c>
      <c r="J172" t="s">
        <v>1042</v>
      </c>
    </row>
    <row r="173" spans="1:10">
      <c r="A173" t="s">
        <v>1206</v>
      </c>
      <c r="B173" t="s">
        <v>1238</v>
      </c>
      <c r="C173" s="2" t="s">
        <v>251</v>
      </c>
      <c r="E173">
        <v>32988.845000000001</v>
      </c>
      <c r="G173">
        <v>2E-3</v>
      </c>
      <c r="H173">
        <v>1.18</v>
      </c>
      <c r="I173" t="s">
        <v>1241</v>
      </c>
      <c r="J173" t="s">
        <v>1042</v>
      </c>
    </row>
    <row r="174" spans="1:10">
      <c r="A174" t="s">
        <v>1206</v>
      </c>
      <c r="B174" t="s">
        <v>1238</v>
      </c>
      <c r="C174" s="2" t="s">
        <v>252</v>
      </c>
      <c r="E174">
        <v>33155.330999999998</v>
      </c>
      <c r="G174">
        <v>2E-3</v>
      </c>
      <c r="H174">
        <v>1.3</v>
      </c>
      <c r="I174" t="s">
        <v>1242</v>
      </c>
      <c r="J174" t="s">
        <v>1042</v>
      </c>
    </row>
    <row r="175" spans="1:10">
      <c r="A175" t="s">
        <v>1188</v>
      </c>
      <c r="B175" t="s">
        <v>1243</v>
      </c>
      <c r="C175" s="2" t="s">
        <v>252</v>
      </c>
      <c r="E175">
        <v>33306.942999999999</v>
      </c>
      <c r="G175">
        <v>2E-3</v>
      </c>
      <c r="H175">
        <v>1.03</v>
      </c>
      <c r="I175" t="s">
        <v>1244</v>
      </c>
      <c r="J175" t="s">
        <v>1042</v>
      </c>
    </row>
    <row r="176" spans="1:10">
      <c r="A176" t="s">
        <v>1188</v>
      </c>
      <c r="B176" t="s">
        <v>1243</v>
      </c>
      <c r="C176" s="2" t="s">
        <v>251</v>
      </c>
      <c r="E176">
        <v>33360.28</v>
      </c>
      <c r="G176">
        <v>4.0000000000000001E-3</v>
      </c>
      <c r="H176">
        <v>0.91</v>
      </c>
      <c r="I176" t="s">
        <v>1245</v>
      </c>
      <c r="J176" t="s">
        <v>1042</v>
      </c>
    </row>
    <row r="177" spans="1:10">
      <c r="A177" t="s">
        <v>1094</v>
      </c>
      <c r="B177" t="s">
        <v>586</v>
      </c>
      <c r="C177" s="2" t="s">
        <v>249</v>
      </c>
      <c r="E177">
        <v>33310.629000000001</v>
      </c>
      <c r="G177">
        <v>1E-3</v>
      </c>
      <c r="I177" t="s">
        <v>1246</v>
      </c>
      <c r="J177" t="s">
        <v>1097</v>
      </c>
    </row>
    <row r="178" spans="1:10">
      <c r="A178" t="s">
        <v>1094</v>
      </c>
      <c r="B178" t="s">
        <v>586</v>
      </c>
      <c r="C178" s="2" t="s">
        <v>250</v>
      </c>
      <c r="E178">
        <v>33412.584000000003</v>
      </c>
      <c r="G178">
        <v>1E-3</v>
      </c>
      <c r="I178" t="s">
        <v>1247</v>
      </c>
      <c r="J178" t="s">
        <v>1097</v>
      </c>
    </row>
    <row r="179" spans="1:10">
      <c r="A179" t="s">
        <v>1094</v>
      </c>
      <c r="B179" t="s">
        <v>586</v>
      </c>
      <c r="C179" s="2" t="s">
        <v>248</v>
      </c>
      <c r="E179">
        <v>33484.368000000002</v>
      </c>
      <c r="G179">
        <v>1.1999999999999999E-3</v>
      </c>
      <c r="I179" t="s">
        <v>1248</v>
      </c>
      <c r="J179" t="s">
        <v>1097</v>
      </c>
    </row>
    <row r="180" spans="1:10">
      <c r="A180" t="s">
        <v>1188</v>
      </c>
      <c r="B180" t="s">
        <v>1249</v>
      </c>
      <c r="C180" s="2" t="s">
        <v>251</v>
      </c>
      <c r="E180">
        <v>33481.425999999999</v>
      </c>
      <c r="G180">
        <v>6.0000000000000001E-3</v>
      </c>
      <c r="H180">
        <v>1.1100000000000001</v>
      </c>
      <c r="I180" t="s">
        <v>1250</v>
      </c>
      <c r="J180" t="s">
        <v>1042</v>
      </c>
    </row>
    <row r="181" spans="1:10">
      <c r="A181" t="s">
        <v>1188</v>
      </c>
      <c r="B181" t="s">
        <v>1249</v>
      </c>
      <c r="C181" s="2" t="s">
        <v>249</v>
      </c>
      <c r="E181">
        <v>33527.589</v>
      </c>
      <c r="G181">
        <v>8.9999999999999993E-3</v>
      </c>
      <c r="H181">
        <v>0.85</v>
      </c>
      <c r="I181" t="s">
        <v>1251</v>
      </c>
      <c r="J181" t="s">
        <v>1042</v>
      </c>
    </row>
    <row r="182" spans="1:10">
      <c r="A182" t="s">
        <v>1188</v>
      </c>
      <c r="B182" t="s">
        <v>1252</v>
      </c>
      <c r="C182" s="2" t="s">
        <v>252</v>
      </c>
      <c r="E182">
        <v>33640.28</v>
      </c>
      <c r="G182">
        <v>2E-3</v>
      </c>
      <c r="H182">
        <v>0.92</v>
      </c>
      <c r="I182" t="s">
        <v>1253</v>
      </c>
      <c r="J182" t="s">
        <v>1042</v>
      </c>
    </row>
    <row r="183" spans="1:10">
      <c r="A183" t="s">
        <v>1188</v>
      </c>
      <c r="B183" t="s">
        <v>1252</v>
      </c>
      <c r="C183" s="2" t="s">
        <v>1702</v>
      </c>
      <c r="E183">
        <v>33695.326999999997</v>
      </c>
      <c r="G183">
        <v>2E-3</v>
      </c>
      <c r="H183">
        <v>1.0900000000000001</v>
      </c>
      <c r="I183" t="s">
        <v>1254</v>
      </c>
      <c r="J183" t="s">
        <v>1042</v>
      </c>
    </row>
    <row r="184" spans="1:10">
      <c r="A184" t="s">
        <v>1178</v>
      </c>
      <c r="B184" t="s">
        <v>1255</v>
      </c>
      <c r="C184" s="2" t="s">
        <v>248</v>
      </c>
      <c r="E184">
        <v>33966.834000000003</v>
      </c>
      <c r="G184">
        <v>2E-3</v>
      </c>
      <c r="H184">
        <v>0.09</v>
      </c>
      <c r="I184" t="s">
        <v>1256</v>
      </c>
      <c r="J184" t="s">
        <v>1042</v>
      </c>
    </row>
    <row r="185" spans="1:10">
      <c r="A185" t="s">
        <v>1178</v>
      </c>
      <c r="B185" t="s">
        <v>1255</v>
      </c>
      <c r="C185" s="2" t="s">
        <v>250</v>
      </c>
      <c r="E185">
        <v>33976.069000000003</v>
      </c>
      <c r="F185" t="s">
        <v>1155</v>
      </c>
      <c r="G185">
        <v>2E-3</v>
      </c>
      <c r="H185">
        <v>0.8</v>
      </c>
      <c r="I185" t="s">
        <v>1257</v>
      </c>
      <c r="J185" t="s">
        <v>1042</v>
      </c>
    </row>
    <row r="186" spans="1:10">
      <c r="A186" t="s">
        <v>1178</v>
      </c>
      <c r="B186" t="s">
        <v>1255</v>
      </c>
      <c r="C186" s="2" t="s">
        <v>249</v>
      </c>
      <c r="E186">
        <v>34065.731</v>
      </c>
      <c r="G186">
        <v>2E-3</v>
      </c>
      <c r="H186">
        <v>1.3</v>
      </c>
      <c r="I186" t="s">
        <v>1258</v>
      </c>
      <c r="J186" t="s">
        <v>1042</v>
      </c>
    </row>
    <row r="187" spans="1:10">
      <c r="A187" t="s">
        <v>1178</v>
      </c>
      <c r="B187" t="s">
        <v>1255</v>
      </c>
      <c r="C187" s="2" t="s">
        <v>251</v>
      </c>
      <c r="E187">
        <v>34127.930999999997</v>
      </c>
      <c r="G187">
        <v>7.0000000000000001E-3</v>
      </c>
      <c r="H187">
        <v>1.35</v>
      </c>
      <c r="I187" t="s">
        <v>1259</v>
      </c>
      <c r="J187" t="s">
        <v>1042</v>
      </c>
    </row>
    <row r="188" spans="1:10">
      <c r="A188" t="s">
        <v>1216</v>
      </c>
      <c r="B188" t="s">
        <v>218</v>
      </c>
      <c r="C188" s="2" t="s">
        <v>250</v>
      </c>
      <c r="E188">
        <v>34030.063000000002</v>
      </c>
      <c r="F188" t="s">
        <v>1155</v>
      </c>
      <c r="G188">
        <v>6.0000000000000001E-3</v>
      </c>
      <c r="H188">
        <v>0.86</v>
      </c>
      <c r="I188" t="s">
        <v>1260</v>
      </c>
      <c r="J188" t="s">
        <v>1042</v>
      </c>
    </row>
    <row r="189" spans="1:10">
      <c r="A189" t="s">
        <v>1216</v>
      </c>
      <c r="B189" t="s">
        <v>218</v>
      </c>
      <c r="C189" s="2" t="s">
        <v>249</v>
      </c>
      <c r="E189">
        <v>34167.881999999998</v>
      </c>
      <c r="G189">
        <v>2E-3</v>
      </c>
      <c r="H189" t="s">
        <v>1132</v>
      </c>
      <c r="I189" t="s">
        <v>1261</v>
      </c>
      <c r="J189" t="s">
        <v>1042</v>
      </c>
    </row>
    <row r="190" spans="1:10">
      <c r="A190" t="s">
        <v>1094</v>
      </c>
      <c r="B190" t="s">
        <v>1262</v>
      </c>
      <c r="C190" s="2" t="s">
        <v>248</v>
      </c>
      <c r="E190">
        <v>34328.682999999997</v>
      </c>
      <c r="G190">
        <v>1.1999999999999999E-3</v>
      </c>
      <c r="I190" t="s">
        <v>1263</v>
      </c>
      <c r="J190" t="s">
        <v>1097</v>
      </c>
    </row>
    <row r="191" spans="1:10">
      <c r="A191" t="s">
        <v>1094</v>
      </c>
      <c r="B191" t="s">
        <v>1262</v>
      </c>
      <c r="C191" s="2" t="s">
        <v>250</v>
      </c>
      <c r="E191">
        <v>34342.887000000002</v>
      </c>
      <c r="G191">
        <v>1.4E-3</v>
      </c>
      <c r="I191" t="s">
        <v>1264</v>
      </c>
      <c r="J191" t="s">
        <v>1097</v>
      </c>
    </row>
    <row r="192" spans="1:10">
      <c r="A192" t="s">
        <v>1094</v>
      </c>
      <c r="B192" t="s">
        <v>1262</v>
      </c>
      <c r="C192" s="2" t="s">
        <v>249</v>
      </c>
      <c r="E192">
        <v>34358.408000000003</v>
      </c>
      <c r="G192">
        <v>1E-3</v>
      </c>
      <c r="I192" t="s">
        <v>1264</v>
      </c>
      <c r="J192" t="s">
        <v>1097</v>
      </c>
    </row>
    <row r="193" spans="1:10">
      <c r="A193" t="s">
        <v>1094</v>
      </c>
      <c r="B193" t="s">
        <v>1262</v>
      </c>
      <c r="C193" s="2" t="s">
        <v>251</v>
      </c>
      <c r="E193">
        <v>34366.057999999997</v>
      </c>
      <c r="G193">
        <v>1E-3</v>
      </c>
      <c r="I193" t="s">
        <v>1265</v>
      </c>
      <c r="J193" t="s">
        <v>1097</v>
      </c>
    </row>
    <row r="194" spans="1:10">
      <c r="A194" t="s">
        <v>1266</v>
      </c>
      <c r="B194" t="s">
        <v>214</v>
      </c>
      <c r="C194" s="2" t="s">
        <v>251</v>
      </c>
      <c r="E194">
        <v>34374.872000000003</v>
      </c>
      <c r="G194">
        <v>4.0000000000000001E-3</v>
      </c>
      <c r="H194">
        <v>1.21</v>
      </c>
      <c r="I194" t="s">
        <v>1267</v>
      </c>
      <c r="J194" t="s">
        <v>1042</v>
      </c>
    </row>
    <row r="195" spans="1:10">
      <c r="A195" t="s">
        <v>1266</v>
      </c>
      <c r="B195" t="s">
        <v>214</v>
      </c>
      <c r="C195" s="2" t="s">
        <v>250</v>
      </c>
      <c r="E195">
        <v>34428.773000000001</v>
      </c>
      <c r="G195">
        <v>3.0000000000000001E-3</v>
      </c>
      <c r="H195">
        <v>0.73</v>
      </c>
      <c r="I195" t="s">
        <v>1268</v>
      </c>
      <c r="J195" t="s">
        <v>1042</v>
      </c>
    </row>
    <row r="196" spans="1:10">
      <c r="A196" t="s">
        <v>1266</v>
      </c>
      <c r="B196" t="s">
        <v>214</v>
      </c>
      <c r="C196" s="2" t="s">
        <v>249</v>
      </c>
      <c r="E196">
        <v>34486.786999999997</v>
      </c>
      <c r="G196">
        <v>5.0000000000000001E-3</v>
      </c>
      <c r="H196">
        <v>1.18</v>
      </c>
      <c r="I196" t="s">
        <v>1269</v>
      </c>
      <c r="J196" t="s">
        <v>1042</v>
      </c>
    </row>
    <row r="197" spans="1:10">
      <c r="A197" t="s">
        <v>1266</v>
      </c>
      <c r="B197" t="s">
        <v>214</v>
      </c>
      <c r="C197" s="2" t="s">
        <v>252</v>
      </c>
      <c r="E197">
        <v>34529.821000000004</v>
      </c>
      <c r="G197">
        <v>3.0000000000000001E-3</v>
      </c>
      <c r="H197">
        <v>1.41</v>
      </c>
      <c r="I197" t="s">
        <v>1270</v>
      </c>
      <c r="J197" t="s">
        <v>1042</v>
      </c>
    </row>
    <row r="198" spans="1:10">
      <c r="A198" t="s">
        <v>1206</v>
      </c>
      <c r="B198" t="s">
        <v>1271</v>
      </c>
      <c r="C198" s="2" t="s">
        <v>248</v>
      </c>
      <c r="E198">
        <v>34477.427000000003</v>
      </c>
      <c r="F198" t="s">
        <v>1155</v>
      </c>
      <c r="G198">
        <v>5.0000000000000001E-3</v>
      </c>
      <c r="H198">
        <v>0</v>
      </c>
      <c r="I198" t="s">
        <v>1272</v>
      </c>
      <c r="J198" t="s">
        <v>1042</v>
      </c>
    </row>
    <row r="199" spans="1:10">
      <c r="A199" t="s">
        <v>1206</v>
      </c>
      <c r="B199" t="s">
        <v>1271</v>
      </c>
      <c r="C199" s="2" t="s">
        <v>250</v>
      </c>
      <c r="E199">
        <v>34537.298999999999</v>
      </c>
      <c r="G199">
        <v>1.2999999999999999E-3</v>
      </c>
      <c r="H199">
        <v>1.05</v>
      </c>
      <c r="I199" t="s">
        <v>1273</v>
      </c>
      <c r="J199" t="s">
        <v>1042</v>
      </c>
    </row>
    <row r="200" spans="1:10">
      <c r="A200" t="s">
        <v>1206</v>
      </c>
      <c r="B200" t="s">
        <v>1271</v>
      </c>
      <c r="C200" s="2" t="s">
        <v>249</v>
      </c>
      <c r="E200">
        <v>34619.597999999998</v>
      </c>
      <c r="G200">
        <v>2E-3</v>
      </c>
      <c r="H200">
        <v>1.28</v>
      </c>
      <c r="I200" t="s">
        <v>1273</v>
      </c>
      <c r="J200" t="s">
        <v>1042</v>
      </c>
    </row>
    <row r="201" spans="1:10">
      <c r="A201" t="s">
        <v>1206</v>
      </c>
      <c r="B201" t="s">
        <v>1271</v>
      </c>
      <c r="C201" s="2" t="s">
        <v>251</v>
      </c>
      <c r="E201">
        <v>34747.127999999997</v>
      </c>
      <c r="G201">
        <v>1E-3</v>
      </c>
      <c r="H201">
        <v>1.35</v>
      </c>
      <c r="I201" t="s">
        <v>1274</v>
      </c>
      <c r="J201" t="s">
        <v>1042</v>
      </c>
    </row>
    <row r="202" spans="1:10">
      <c r="A202" t="s">
        <v>1201</v>
      </c>
      <c r="B202" t="s">
        <v>577</v>
      </c>
      <c r="C202" s="2" t="s">
        <v>249</v>
      </c>
      <c r="E202">
        <v>34902.027999999998</v>
      </c>
      <c r="G202">
        <v>2E-3</v>
      </c>
      <c r="I202" t="s">
        <v>1275</v>
      </c>
      <c r="J202" t="s">
        <v>1097</v>
      </c>
    </row>
    <row r="203" spans="1:10">
      <c r="A203" t="s">
        <v>1201</v>
      </c>
      <c r="B203" t="s">
        <v>577</v>
      </c>
      <c r="C203" s="2" t="s">
        <v>251</v>
      </c>
      <c r="E203">
        <v>34905.410000000003</v>
      </c>
      <c r="G203">
        <v>2E-3</v>
      </c>
      <c r="I203" t="s">
        <v>1276</v>
      </c>
      <c r="J203" t="s">
        <v>1097</v>
      </c>
    </row>
    <row r="204" spans="1:10">
      <c r="A204" t="s">
        <v>1266</v>
      </c>
      <c r="B204" t="s">
        <v>1277</v>
      </c>
      <c r="C204" s="2" t="s">
        <v>248</v>
      </c>
      <c r="E204">
        <v>35013.258999999998</v>
      </c>
      <c r="F204" t="s">
        <v>1155</v>
      </c>
      <c r="G204">
        <v>2E-3</v>
      </c>
      <c r="I204" t="s">
        <v>1278</v>
      </c>
      <c r="J204" t="s">
        <v>1097</v>
      </c>
    </row>
    <row r="205" spans="1:10">
      <c r="A205" t="s">
        <v>1266</v>
      </c>
      <c r="B205" t="s">
        <v>1277</v>
      </c>
      <c r="C205" s="2" t="s">
        <v>250</v>
      </c>
      <c r="E205">
        <v>35092.517999999996</v>
      </c>
      <c r="G205">
        <v>6.0000000000000001E-3</v>
      </c>
      <c r="H205">
        <v>1.1200000000000001</v>
      </c>
      <c r="I205" t="s">
        <v>1279</v>
      </c>
      <c r="J205" t="s">
        <v>1042</v>
      </c>
    </row>
    <row r="206" spans="1:10">
      <c r="A206" t="s">
        <v>1266</v>
      </c>
      <c r="B206" t="s">
        <v>1277</v>
      </c>
      <c r="C206" s="2" t="s">
        <v>249</v>
      </c>
      <c r="E206">
        <v>35224.99</v>
      </c>
      <c r="G206">
        <v>5.0000000000000001E-3</v>
      </c>
      <c r="H206">
        <v>1.32</v>
      </c>
      <c r="I206" t="s">
        <v>1280</v>
      </c>
      <c r="J206" t="s">
        <v>1042</v>
      </c>
    </row>
    <row r="207" spans="1:10">
      <c r="A207" t="s">
        <v>1266</v>
      </c>
      <c r="B207" t="s">
        <v>1277</v>
      </c>
      <c r="C207" s="2" t="s">
        <v>251</v>
      </c>
      <c r="E207">
        <v>35379.307000000001</v>
      </c>
      <c r="G207">
        <v>2E-3</v>
      </c>
      <c r="H207">
        <v>1.33</v>
      </c>
      <c r="I207" t="s">
        <v>1281</v>
      </c>
      <c r="J207" t="s">
        <v>1042</v>
      </c>
    </row>
    <row r="208" spans="1:10">
      <c r="A208" t="s">
        <v>1178</v>
      </c>
      <c r="B208" t="s">
        <v>1282</v>
      </c>
      <c r="C208" s="2" t="s">
        <v>250</v>
      </c>
      <c r="E208">
        <v>36408.402000000002</v>
      </c>
      <c r="G208">
        <v>3.0000000000000001E-3</v>
      </c>
      <c r="H208">
        <v>1.85</v>
      </c>
      <c r="I208" t="s">
        <v>1283</v>
      </c>
      <c r="J208" t="s">
        <v>1042</v>
      </c>
    </row>
    <row r="209" spans="1:10">
      <c r="A209" t="s">
        <v>1284</v>
      </c>
      <c r="B209" t="s">
        <v>609</v>
      </c>
      <c r="C209" s="2" t="s">
        <v>251</v>
      </c>
      <c r="E209">
        <v>36461.281999999999</v>
      </c>
      <c r="G209">
        <v>4.0000000000000001E-3</v>
      </c>
      <c r="H209">
        <v>0.85</v>
      </c>
      <c r="I209" t="s">
        <v>1285</v>
      </c>
      <c r="J209" t="s">
        <v>1042</v>
      </c>
    </row>
    <row r="210" spans="1:10">
      <c r="A210" t="s">
        <v>1284</v>
      </c>
      <c r="B210" t="s">
        <v>609</v>
      </c>
      <c r="C210" s="2" t="s">
        <v>252</v>
      </c>
      <c r="E210">
        <v>36538.569000000003</v>
      </c>
      <c r="G210">
        <v>4.0000000000000001E-3</v>
      </c>
      <c r="H210">
        <v>1.05</v>
      </c>
      <c r="I210" t="s">
        <v>1286</v>
      </c>
      <c r="J210" t="s">
        <v>1042</v>
      </c>
    </row>
    <row r="211" spans="1:10">
      <c r="A211" t="s">
        <v>1218</v>
      </c>
      <c r="B211" t="s">
        <v>211</v>
      </c>
      <c r="C211" s="2" t="s">
        <v>248</v>
      </c>
      <c r="E211">
        <v>36477.728000000003</v>
      </c>
      <c r="F211" t="s">
        <v>1155</v>
      </c>
      <c r="G211">
        <v>5.0000000000000001E-3</v>
      </c>
      <c r="H211">
        <v>0.74</v>
      </c>
      <c r="I211" t="s">
        <v>1287</v>
      </c>
      <c r="J211" t="s">
        <v>1042</v>
      </c>
    </row>
    <row r="212" spans="1:10">
      <c r="A212" t="s">
        <v>1218</v>
      </c>
      <c r="B212" t="s">
        <v>211</v>
      </c>
      <c r="C212" s="2" t="s">
        <v>250</v>
      </c>
      <c r="E212">
        <v>36580.427000000003</v>
      </c>
      <c r="F212" t="s">
        <v>1155</v>
      </c>
      <c r="G212">
        <v>2E-3</v>
      </c>
      <c r="H212">
        <v>1.17</v>
      </c>
      <c r="I212" t="s">
        <v>1288</v>
      </c>
      <c r="J212" t="s">
        <v>1042</v>
      </c>
    </row>
    <row r="213" spans="1:10">
      <c r="A213" t="s">
        <v>1266</v>
      </c>
      <c r="B213" t="s">
        <v>1289</v>
      </c>
      <c r="C213" s="2" t="s">
        <v>249</v>
      </c>
      <c r="E213">
        <v>36611.845000000001</v>
      </c>
      <c r="G213">
        <v>3.0000000000000001E-3</v>
      </c>
      <c r="H213">
        <v>1.54</v>
      </c>
      <c r="I213" t="s">
        <v>1290</v>
      </c>
      <c r="J213" t="s">
        <v>1042</v>
      </c>
    </row>
    <row r="214" spans="1:10">
      <c r="A214" t="s">
        <v>1266</v>
      </c>
      <c r="B214" t="s">
        <v>1289</v>
      </c>
      <c r="C214" s="2" t="s">
        <v>248</v>
      </c>
      <c r="E214">
        <v>36695.612000000001</v>
      </c>
      <c r="G214">
        <v>6.0000000000000001E-3</v>
      </c>
      <c r="H214">
        <v>2.5099999999999998</v>
      </c>
      <c r="I214" t="s">
        <v>1291</v>
      </c>
      <c r="J214" t="s">
        <v>1042</v>
      </c>
    </row>
    <row r="215" spans="1:10">
      <c r="A215" t="s">
        <v>1266</v>
      </c>
      <c r="B215" t="s">
        <v>1289</v>
      </c>
      <c r="C215" s="2" t="s">
        <v>250</v>
      </c>
      <c r="E215">
        <v>36814.826999999997</v>
      </c>
      <c r="G215">
        <v>5.0000000000000001E-3</v>
      </c>
      <c r="H215">
        <v>1.77</v>
      </c>
      <c r="I215" t="s">
        <v>1292</v>
      </c>
      <c r="J215" t="s">
        <v>1042</v>
      </c>
    </row>
    <row r="216" spans="1:10">
      <c r="A216" t="s">
        <v>1178</v>
      </c>
      <c r="B216" t="s">
        <v>1293</v>
      </c>
      <c r="C216" s="2" t="s">
        <v>249</v>
      </c>
      <c r="E216">
        <v>36700.767999999996</v>
      </c>
      <c r="G216">
        <v>1.2E-2</v>
      </c>
      <c r="H216">
        <v>1.1299999999999999</v>
      </c>
      <c r="I216" t="s">
        <v>1294</v>
      </c>
      <c r="J216" t="s">
        <v>1042</v>
      </c>
    </row>
    <row r="217" spans="1:10">
      <c r="A217" t="s">
        <v>1178</v>
      </c>
      <c r="B217" t="s">
        <v>1293</v>
      </c>
      <c r="C217" s="2" t="s">
        <v>250</v>
      </c>
      <c r="E217">
        <v>36780.091</v>
      </c>
      <c r="G217">
        <v>4.0000000000000001E-3</v>
      </c>
      <c r="I217" t="s">
        <v>1295</v>
      </c>
      <c r="J217" t="s">
        <v>1097</v>
      </c>
    </row>
    <row r="218" spans="1:10">
      <c r="A218" t="s">
        <v>1284</v>
      </c>
      <c r="B218" t="s">
        <v>1296</v>
      </c>
      <c r="C218" s="2" t="s">
        <v>249</v>
      </c>
      <c r="E218">
        <v>36766.040999999997</v>
      </c>
      <c r="G218">
        <v>6.0000000000000001E-3</v>
      </c>
      <c r="H218">
        <v>0.89</v>
      </c>
      <c r="I218" t="s">
        <v>1297</v>
      </c>
      <c r="J218" t="s">
        <v>1042</v>
      </c>
    </row>
    <row r="219" spans="1:10">
      <c r="A219" t="s">
        <v>1284</v>
      </c>
      <c r="B219" t="s">
        <v>1296</v>
      </c>
      <c r="C219" s="2" t="s">
        <v>251</v>
      </c>
      <c r="E219">
        <v>36925.892999999996</v>
      </c>
      <c r="F219" t="s">
        <v>1155</v>
      </c>
      <c r="G219">
        <v>4.0000000000000001E-3</v>
      </c>
      <c r="H219">
        <v>1.05</v>
      </c>
      <c r="I219" t="s">
        <v>1298</v>
      </c>
      <c r="J219" t="s">
        <v>1042</v>
      </c>
    </row>
    <row r="220" spans="1:10">
      <c r="A220" t="s">
        <v>1228</v>
      </c>
      <c r="B220" t="s">
        <v>1299</v>
      </c>
      <c r="C220" s="2" t="s">
        <v>251</v>
      </c>
      <c r="E220">
        <v>36822.877999999997</v>
      </c>
      <c r="G220">
        <v>1.2999999999999999E-3</v>
      </c>
      <c r="H220">
        <v>1.06</v>
      </c>
      <c r="I220" t="s">
        <v>1300</v>
      </c>
      <c r="J220" t="s">
        <v>1042</v>
      </c>
    </row>
    <row r="221" spans="1:10">
      <c r="A221" t="s">
        <v>1228</v>
      </c>
      <c r="B221" t="s">
        <v>1299</v>
      </c>
      <c r="C221" s="2" t="s">
        <v>249</v>
      </c>
      <c r="E221">
        <v>36863.773000000001</v>
      </c>
      <c r="G221">
        <v>2E-3</v>
      </c>
      <c r="I221" t="s">
        <v>1301</v>
      </c>
      <c r="J221" t="s">
        <v>1097</v>
      </c>
    </row>
    <row r="222" spans="1:10">
      <c r="A222" t="s">
        <v>1228</v>
      </c>
      <c r="B222" t="s">
        <v>1299</v>
      </c>
      <c r="C222" s="2" t="s">
        <v>252</v>
      </c>
      <c r="E222">
        <v>36897.961000000003</v>
      </c>
      <c r="G222">
        <v>2E-3</v>
      </c>
      <c r="H222">
        <v>1.17</v>
      </c>
      <c r="I222" t="s">
        <v>1302</v>
      </c>
      <c r="J222" t="s">
        <v>1042</v>
      </c>
    </row>
    <row r="223" spans="1:10">
      <c r="A223" t="s">
        <v>1228</v>
      </c>
      <c r="B223" t="s">
        <v>1299</v>
      </c>
      <c r="C223" s="2" t="s">
        <v>1702</v>
      </c>
      <c r="E223">
        <v>36938.442999999999</v>
      </c>
      <c r="G223">
        <v>6.0000000000000001E-3</v>
      </c>
      <c r="H223">
        <v>1.26</v>
      </c>
      <c r="I223" t="s">
        <v>1303</v>
      </c>
      <c r="J223" t="s">
        <v>1042</v>
      </c>
    </row>
    <row r="224" spans="1:10">
      <c r="A224" t="s">
        <v>1094</v>
      </c>
      <c r="B224" t="s">
        <v>1304</v>
      </c>
      <c r="C224" s="2" t="s">
        <v>250</v>
      </c>
      <c r="E224">
        <v>36983.603000000003</v>
      </c>
      <c r="G224">
        <v>5.0000000000000001E-3</v>
      </c>
      <c r="I224" t="s">
        <v>1305</v>
      </c>
      <c r="J224" t="s">
        <v>1097</v>
      </c>
    </row>
    <row r="225" spans="1:10">
      <c r="A225" t="s">
        <v>1094</v>
      </c>
      <c r="B225" t="s">
        <v>1304</v>
      </c>
      <c r="C225" s="2" t="s">
        <v>249</v>
      </c>
      <c r="E225">
        <v>36989.184999999998</v>
      </c>
      <c r="G225">
        <v>1.1000000000000001E-3</v>
      </c>
      <c r="I225" t="s">
        <v>1306</v>
      </c>
      <c r="J225" t="s">
        <v>1097</v>
      </c>
    </row>
    <row r="226" spans="1:10">
      <c r="A226" t="s">
        <v>1094</v>
      </c>
      <c r="B226" t="s">
        <v>1304</v>
      </c>
      <c r="C226" s="2" t="s">
        <v>251</v>
      </c>
      <c r="E226">
        <v>37025.578999999998</v>
      </c>
      <c r="G226">
        <v>1.1999999999999999E-3</v>
      </c>
      <c r="I226" t="s">
        <v>1306</v>
      </c>
      <c r="J226" t="s">
        <v>1097</v>
      </c>
    </row>
    <row r="227" spans="1:10">
      <c r="A227" t="s">
        <v>1094</v>
      </c>
      <c r="B227" t="s">
        <v>1304</v>
      </c>
      <c r="C227" s="2" t="s">
        <v>252</v>
      </c>
      <c r="E227">
        <v>37075.563000000002</v>
      </c>
      <c r="G227">
        <v>1.2999999999999999E-3</v>
      </c>
      <c r="I227" t="s">
        <v>1307</v>
      </c>
      <c r="J227" t="s">
        <v>1097</v>
      </c>
    </row>
    <row r="228" spans="1:10">
      <c r="A228" t="s">
        <v>1308</v>
      </c>
      <c r="B228" t="s">
        <v>1309</v>
      </c>
      <c r="C228" s="2" t="s">
        <v>248</v>
      </c>
      <c r="E228">
        <v>37116.769</v>
      </c>
      <c r="G228">
        <v>5.0000000000000001E-3</v>
      </c>
      <c r="H228">
        <v>3.08</v>
      </c>
      <c r="I228" t="s">
        <v>1310</v>
      </c>
      <c r="J228" t="s">
        <v>1042</v>
      </c>
    </row>
    <row r="229" spans="1:10">
      <c r="A229" t="s">
        <v>1308</v>
      </c>
      <c r="B229" t="s">
        <v>1309</v>
      </c>
      <c r="C229" s="2" t="s">
        <v>250</v>
      </c>
      <c r="E229">
        <v>37158.582000000002</v>
      </c>
      <c r="G229">
        <v>4.0000000000000001E-3</v>
      </c>
      <c r="H229">
        <v>1.87</v>
      </c>
      <c r="I229" t="s">
        <v>1310</v>
      </c>
      <c r="J229" t="s">
        <v>1042</v>
      </c>
    </row>
    <row r="230" spans="1:10">
      <c r="A230" t="s">
        <v>1308</v>
      </c>
      <c r="B230" t="s">
        <v>1309</v>
      </c>
      <c r="C230" s="2" t="s">
        <v>249</v>
      </c>
      <c r="E230">
        <v>37227.489000000001</v>
      </c>
      <c r="G230">
        <v>1E-3</v>
      </c>
      <c r="H230">
        <v>1.61</v>
      </c>
      <c r="I230" t="s">
        <v>1310</v>
      </c>
      <c r="J230" t="s">
        <v>1042</v>
      </c>
    </row>
    <row r="231" spans="1:10">
      <c r="A231" t="s">
        <v>1308</v>
      </c>
      <c r="B231" t="s">
        <v>1309</v>
      </c>
      <c r="C231" s="2" t="s">
        <v>251</v>
      </c>
      <c r="E231">
        <v>37322.17</v>
      </c>
      <c r="G231">
        <v>1.2999999999999999E-3</v>
      </c>
      <c r="H231">
        <v>1.64</v>
      </c>
      <c r="I231" t="s">
        <v>1310</v>
      </c>
      <c r="J231" t="s">
        <v>1042</v>
      </c>
    </row>
    <row r="232" spans="1:10">
      <c r="A232" t="s">
        <v>1308</v>
      </c>
      <c r="B232" t="s">
        <v>1309</v>
      </c>
      <c r="C232" s="2" t="s">
        <v>252</v>
      </c>
      <c r="E232">
        <v>37440.777000000002</v>
      </c>
      <c r="G232">
        <v>1.5E-3</v>
      </c>
      <c r="H232">
        <v>1.48</v>
      </c>
      <c r="I232" t="s">
        <v>1311</v>
      </c>
      <c r="J232" t="s">
        <v>1042</v>
      </c>
    </row>
    <row r="233" spans="1:10">
      <c r="A233" t="s">
        <v>1312</v>
      </c>
      <c r="B233" t="s">
        <v>1313</v>
      </c>
      <c r="C233" s="2" t="s">
        <v>251</v>
      </c>
      <c r="E233">
        <v>37174.690999999999</v>
      </c>
      <c r="G233">
        <v>2E-3</v>
      </c>
      <c r="H233">
        <v>0.99</v>
      </c>
      <c r="I233" t="s">
        <v>1314</v>
      </c>
      <c r="J233" t="s">
        <v>1042</v>
      </c>
    </row>
    <row r="234" spans="1:10">
      <c r="A234" t="s">
        <v>1312</v>
      </c>
      <c r="B234" t="s">
        <v>1313</v>
      </c>
      <c r="C234" s="2" t="s">
        <v>252</v>
      </c>
      <c r="E234">
        <v>37361.951000000001</v>
      </c>
      <c r="G234">
        <v>2E-3</v>
      </c>
      <c r="H234">
        <v>1.05</v>
      </c>
      <c r="I234" t="s">
        <v>1315</v>
      </c>
      <c r="J234" t="s">
        <v>1042</v>
      </c>
    </row>
    <row r="235" spans="1:10">
      <c r="A235" t="s">
        <v>1228</v>
      </c>
      <c r="B235" t="s">
        <v>1316</v>
      </c>
      <c r="C235" s="2" t="s">
        <v>252</v>
      </c>
      <c r="E235">
        <v>37180.946000000004</v>
      </c>
      <c r="G235">
        <v>3.0000000000000001E-3</v>
      </c>
      <c r="H235">
        <v>0.73</v>
      </c>
      <c r="I235" t="s">
        <v>1317</v>
      </c>
      <c r="J235" t="s">
        <v>1042</v>
      </c>
    </row>
    <row r="236" spans="1:10">
      <c r="A236" t="s">
        <v>1228</v>
      </c>
      <c r="B236" t="s">
        <v>1316</v>
      </c>
      <c r="C236" s="2" t="s">
        <v>1702</v>
      </c>
      <c r="E236">
        <v>37210.817999999999</v>
      </c>
      <c r="G236">
        <v>3.0000000000000001E-3</v>
      </c>
      <c r="H236">
        <v>1.08</v>
      </c>
      <c r="I236" t="s">
        <v>1318</v>
      </c>
      <c r="J236" t="s">
        <v>1042</v>
      </c>
    </row>
    <row r="237" spans="1:10">
      <c r="A237" t="s">
        <v>1312</v>
      </c>
      <c r="B237" t="s">
        <v>1319</v>
      </c>
      <c r="C237" s="2" t="s">
        <v>252</v>
      </c>
      <c r="E237">
        <v>37285.057000000001</v>
      </c>
      <c r="G237">
        <v>2E-3</v>
      </c>
      <c r="H237">
        <v>0.87</v>
      </c>
      <c r="I237" t="s">
        <v>1320</v>
      </c>
      <c r="J237" t="s">
        <v>1042</v>
      </c>
    </row>
    <row r="238" spans="1:10">
      <c r="A238" t="s">
        <v>1312</v>
      </c>
      <c r="B238" t="s">
        <v>1319</v>
      </c>
      <c r="C238" s="2" t="s">
        <v>1702</v>
      </c>
      <c r="E238">
        <v>37315.932000000001</v>
      </c>
      <c r="G238">
        <v>4.0000000000000001E-3</v>
      </c>
      <c r="H238">
        <v>0.96</v>
      </c>
      <c r="I238" t="s">
        <v>1320</v>
      </c>
      <c r="J238" t="s">
        <v>1042</v>
      </c>
    </row>
    <row r="239" spans="1:10">
      <c r="A239" t="s">
        <v>1312</v>
      </c>
      <c r="B239" t="s">
        <v>1319</v>
      </c>
      <c r="C239" s="2" t="s">
        <v>720</v>
      </c>
      <c r="E239">
        <v>37404.328999999998</v>
      </c>
      <c r="G239">
        <v>2E-3</v>
      </c>
      <c r="H239">
        <v>1.08</v>
      </c>
      <c r="I239" t="s">
        <v>1321</v>
      </c>
      <c r="J239" t="s">
        <v>1042</v>
      </c>
    </row>
    <row r="240" spans="1:10">
      <c r="A240" t="s">
        <v>1312</v>
      </c>
      <c r="B240" t="s">
        <v>1319</v>
      </c>
      <c r="C240" s="2" t="s">
        <v>1322</v>
      </c>
      <c r="E240">
        <v>37518.445</v>
      </c>
      <c r="G240">
        <v>4.0000000000000001E-3</v>
      </c>
      <c r="H240">
        <v>1.1499999999999999</v>
      </c>
      <c r="I240" t="s">
        <v>1323</v>
      </c>
      <c r="J240" t="s">
        <v>1042</v>
      </c>
    </row>
    <row r="241" spans="1:10">
      <c r="A241" t="s">
        <v>1266</v>
      </c>
      <c r="B241" t="s">
        <v>1324</v>
      </c>
      <c r="C241" s="2" t="s">
        <v>249</v>
      </c>
      <c r="E241">
        <v>37342.555</v>
      </c>
      <c r="G241">
        <v>3.0000000000000001E-3</v>
      </c>
      <c r="H241">
        <v>0.84</v>
      </c>
      <c r="I241" t="s">
        <v>1325</v>
      </c>
      <c r="J241" t="s">
        <v>1042</v>
      </c>
    </row>
    <row r="242" spans="1:10">
      <c r="A242" t="s">
        <v>1266</v>
      </c>
      <c r="B242" t="s">
        <v>1324</v>
      </c>
      <c r="C242" s="2" t="s">
        <v>251</v>
      </c>
      <c r="E242">
        <v>37475.101999999999</v>
      </c>
      <c r="F242" t="s">
        <v>1155</v>
      </c>
      <c r="G242">
        <v>4.0000000000000001E-3</v>
      </c>
      <c r="H242">
        <v>1.1200000000000001</v>
      </c>
      <c r="I242" t="s">
        <v>1326</v>
      </c>
      <c r="J242" t="s">
        <v>1042</v>
      </c>
    </row>
    <row r="243" spans="1:10">
      <c r="A243" t="s">
        <v>1327</v>
      </c>
      <c r="B243" t="s">
        <v>1328</v>
      </c>
      <c r="C243" s="2" t="s">
        <v>248</v>
      </c>
      <c r="E243">
        <v>37375.171999999999</v>
      </c>
      <c r="G243">
        <v>2E-3</v>
      </c>
      <c r="H243">
        <v>-0.72</v>
      </c>
      <c r="I243">
        <v>100</v>
      </c>
      <c r="J243" t="s">
        <v>1042</v>
      </c>
    </row>
    <row r="244" spans="1:10">
      <c r="A244" t="s">
        <v>1327</v>
      </c>
      <c r="B244" t="s">
        <v>1328</v>
      </c>
      <c r="C244" s="2" t="s">
        <v>250</v>
      </c>
      <c r="E244">
        <v>37423.212</v>
      </c>
      <c r="G244">
        <v>2E-3</v>
      </c>
      <c r="H244">
        <v>1.05</v>
      </c>
      <c r="I244">
        <v>96</v>
      </c>
      <c r="J244" t="s">
        <v>1042</v>
      </c>
    </row>
    <row r="245" spans="1:10">
      <c r="A245" t="s">
        <v>1327</v>
      </c>
      <c r="B245" t="s">
        <v>1328</v>
      </c>
      <c r="C245" s="2" t="s">
        <v>249</v>
      </c>
      <c r="E245">
        <v>37503.24</v>
      </c>
      <c r="G245">
        <v>2E-3</v>
      </c>
      <c r="H245">
        <v>1.3</v>
      </c>
      <c r="I245">
        <v>96</v>
      </c>
      <c r="J245" t="s">
        <v>1042</v>
      </c>
    </row>
    <row r="246" spans="1:10">
      <c r="A246" t="s">
        <v>1327</v>
      </c>
      <c r="B246" t="s">
        <v>1328</v>
      </c>
      <c r="C246" s="2" t="s">
        <v>251</v>
      </c>
      <c r="E246">
        <v>37615.057000000001</v>
      </c>
      <c r="G246">
        <v>1.1999999999999999E-3</v>
      </c>
      <c r="H246">
        <v>1.33</v>
      </c>
      <c r="I246">
        <v>98</v>
      </c>
      <c r="J246" t="s">
        <v>1042</v>
      </c>
    </row>
    <row r="247" spans="1:10">
      <c r="A247" t="s">
        <v>1327</v>
      </c>
      <c r="B247" t="s">
        <v>1328</v>
      </c>
      <c r="C247" s="2" t="s">
        <v>252</v>
      </c>
      <c r="E247">
        <v>37758.146000000001</v>
      </c>
      <c r="G247">
        <v>1E-3</v>
      </c>
      <c r="H247">
        <v>1.43</v>
      </c>
      <c r="I247">
        <v>96</v>
      </c>
      <c r="J247" t="s">
        <v>1042</v>
      </c>
    </row>
    <row r="248" spans="1:10">
      <c r="A248" t="s">
        <v>1327</v>
      </c>
      <c r="B248" t="s">
        <v>1328</v>
      </c>
      <c r="C248" s="2" t="s">
        <v>1702</v>
      </c>
      <c r="E248">
        <v>37931.46</v>
      </c>
      <c r="G248">
        <v>2E-3</v>
      </c>
      <c r="H248">
        <v>1.52</v>
      </c>
      <c r="I248">
        <v>10</v>
      </c>
      <c r="J248" t="s">
        <v>1042</v>
      </c>
    </row>
    <row r="249" spans="1:10">
      <c r="A249" t="s">
        <v>1284</v>
      </c>
      <c r="B249" t="s">
        <v>1329</v>
      </c>
      <c r="C249" s="2" t="s">
        <v>250</v>
      </c>
      <c r="E249">
        <v>37457.576000000001</v>
      </c>
      <c r="G249">
        <v>4.0000000000000001E-3</v>
      </c>
      <c r="H249">
        <v>0.8</v>
      </c>
      <c r="I249" t="s">
        <v>1330</v>
      </c>
      <c r="J249" t="s">
        <v>1042</v>
      </c>
    </row>
    <row r="250" spans="1:10">
      <c r="A250" t="s">
        <v>1284</v>
      </c>
      <c r="B250" t="s">
        <v>1329</v>
      </c>
      <c r="C250" s="2" t="s">
        <v>249</v>
      </c>
      <c r="E250">
        <v>37752.595000000001</v>
      </c>
      <c r="G250">
        <v>3.0000000000000001E-3</v>
      </c>
      <c r="H250">
        <v>1.18</v>
      </c>
      <c r="I250" t="s">
        <v>1331</v>
      </c>
      <c r="J250" t="s">
        <v>1042</v>
      </c>
    </row>
    <row r="251" spans="1:10">
      <c r="A251" t="s">
        <v>1284</v>
      </c>
      <c r="B251" t="s">
        <v>1332</v>
      </c>
      <c r="C251" s="2" t="s">
        <v>249</v>
      </c>
      <c r="E251">
        <v>37498.807999999997</v>
      </c>
      <c r="G251">
        <v>3.0000000000000001E-3</v>
      </c>
      <c r="H251">
        <v>0.6</v>
      </c>
      <c r="I251" t="s">
        <v>1333</v>
      </c>
      <c r="J251" t="s">
        <v>1042</v>
      </c>
    </row>
    <row r="252" spans="1:10">
      <c r="A252" t="s">
        <v>1284</v>
      </c>
      <c r="B252" t="s">
        <v>1332</v>
      </c>
      <c r="C252" s="2" t="s">
        <v>251</v>
      </c>
      <c r="E252">
        <v>37556.034</v>
      </c>
      <c r="G252">
        <v>4.0000000000000001E-3</v>
      </c>
      <c r="H252">
        <v>1.02</v>
      </c>
      <c r="I252" t="s">
        <v>1334</v>
      </c>
      <c r="J252" t="s">
        <v>1042</v>
      </c>
    </row>
    <row r="253" spans="1:10">
      <c r="A253" t="s">
        <v>1284</v>
      </c>
      <c r="B253" t="s">
        <v>1332</v>
      </c>
      <c r="C253" s="2" t="s">
        <v>252</v>
      </c>
      <c r="E253">
        <v>37644.487000000001</v>
      </c>
      <c r="G253">
        <v>4.0000000000000001E-3</v>
      </c>
      <c r="H253">
        <v>1.1499999999999999</v>
      </c>
      <c r="I253" t="s">
        <v>1335</v>
      </c>
      <c r="J253" t="s">
        <v>1042</v>
      </c>
    </row>
    <row r="254" spans="1:10">
      <c r="A254" t="s">
        <v>1284</v>
      </c>
      <c r="B254" t="s">
        <v>1332</v>
      </c>
      <c r="C254" s="2" t="s">
        <v>1702</v>
      </c>
      <c r="E254">
        <v>37764.923000000003</v>
      </c>
      <c r="G254">
        <v>2E-3</v>
      </c>
      <c r="H254">
        <v>1.22</v>
      </c>
      <c r="I254" t="s">
        <v>1336</v>
      </c>
      <c r="J254" t="s">
        <v>1042</v>
      </c>
    </row>
    <row r="255" spans="1:10">
      <c r="A255" t="s">
        <v>1312</v>
      </c>
      <c r="B255" t="s">
        <v>1337</v>
      </c>
      <c r="C255" s="2" t="s">
        <v>1702</v>
      </c>
      <c r="E255">
        <v>37530.313999999998</v>
      </c>
      <c r="G255">
        <v>2E-3</v>
      </c>
      <c r="H255">
        <v>0.94</v>
      </c>
      <c r="I255" t="s">
        <v>1338</v>
      </c>
      <c r="J255" t="s">
        <v>1042</v>
      </c>
    </row>
    <row r="256" spans="1:10">
      <c r="A256" t="s">
        <v>1312</v>
      </c>
      <c r="B256" t="s">
        <v>1337</v>
      </c>
      <c r="C256" s="2" t="s">
        <v>720</v>
      </c>
      <c r="E256">
        <v>37606.364999999998</v>
      </c>
      <c r="G256">
        <v>7.0000000000000001E-3</v>
      </c>
      <c r="H256">
        <v>1.06</v>
      </c>
      <c r="I256" t="s">
        <v>1339</v>
      </c>
      <c r="J256" t="s">
        <v>1042</v>
      </c>
    </row>
    <row r="257" spans="1:10">
      <c r="A257" t="s">
        <v>1218</v>
      </c>
      <c r="B257" t="s">
        <v>1340</v>
      </c>
      <c r="C257" s="2" t="s">
        <v>248</v>
      </c>
      <c r="E257">
        <v>37757.309000000001</v>
      </c>
      <c r="G257">
        <v>0.01</v>
      </c>
      <c r="H257">
        <v>0.01</v>
      </c>
      <c r="I257" t="s">
        <v>1341</v>
      </c>
      <c r="J257" t="s">
        <v>1042</v>
      </c>
    </row>
    <row r="258" spans="1:10">
      <c r="A258" t="s">
        <v>1218</v>
      </c>
      <c r="B258" t="s">
        <v>1340</v>
      </c>
      <c r="C258" s="2" t="s">
        <v>250</v>
      </c>
      <c r="E258">
        <v>37835.065000000002</v>
      </c>
      <c r="G258">
        <v>2E-3</v>
      </c>
      <c r="H258">
        <v>1.18</v>
      </c>
      <c r="I258" t="s">
        <v>1342</v>
      </c>
      <c r="J258" t="s">
        <v>1042</v>
      </c>
    </row>
    <row r="259" spans="1:10">
      <c r="A259" t="s">
        <v>1218</v>
      </c>
      <c r="B259" t="s">
        <v>1340</v>
      </c>
      <c r="C259" s="2" t="s">
        <v>249</v>
      </c>
      <c r="E259">
        <v>37959.695</v>
      </c>
      <c r="G259">
        <v>2E-3</v>
      </c>
      <c r="H259">
        <v>1.33</v>
      </c>
      <c r="I259" t="s">
        <v>1343</v>
      </c>
      <c r="J259" t="s">
        <v>1042</v>
      </c>
    </row>
    <row r="260" spans="1:10">
      <c r="A260" t="s">
        <v>1218</v>
      </c>
      <c r="B260" t="s">
        <v>1340</v>
      </c>
      <c r="C260" s="2" t="s">
        <v>251</v>
      </c>
      <c r="E260">
        <v>38115.684000000001</v>
      </c>
      <c r="F260" t="s">
        <v>1155</v>
      </c>
      <c r="G260">
        <v>2E-3</v>
      </c>
      <c r="H260">
        <v>1.35</v>
      </c>
      <c r="I260" t="s">
        <v>1344</v>
      </c>
      <c r="J260" t="s">
        <v>1042</v>
      </c>
    </row>
    <row r="261" spans="1:10">
      <c r="A261" t="s">
        <v>1308</v>
      </c>
      <c r="B261" t="s">
        <v>1345</v>
      </c>
      <c r="C261" s="2" t="s">
        <v>248</v>
      </c>
      <c r="E261">
        <v>37940.211000000003</v>
      </c>
      <c r="G261">
        <v>5.0000000000000001E-3</v>
      </c>
      <c r="I261" t="s">
        <v>1346</v>
      </c>
      <c r="J261" t="s">
        <v>1097</v>
      </c>
    </row>
    <row r="262" spans="1:10">
      <c r="A262" t="s">
        <v>1308</v>
      </c>
      <c r="B262" t="s">
        <v>1345</v>
      </c>
      <c r="C262" s="2" t="s">
        <v>250</v>
      </c>
      <c r="E262">
        <v>38004.040999999997</v>
      </c>
      <c r="G262">
        <v>1.1000000000000001E-3</v>
      </c>
      <c r="I262" t="s">
        <v>1346</v>
      </c>
      <c r="J262" t="s">
        <v>1097</v>
      </c>
    </row>
    <row r="263" spans="1:10">
      <c r="A263" t="s">
        <v>1308</v>
      </c>
      <c r="B263" t="s">
        <v>1345</v>
      </c>
      <c r="C263" s="2" t="s">
        <v>249</v>
      </c>
      <c r="E263">
        <v>38106.385000000002</v>
      </c>
      <c r="G263">
        <v>1.1000000000000001E-3</v>
      </c>
      <c r="I263" t="s">
        <v>1347</v>
      </c>
      <c r="J263" t="s">
        <v>1097</v>
      </c>
    </row>
    <row r="264" spans="1:10">
      <c r="A264" t="s">
        <v>1308</v>
      </c>
      <c r="B264" t="s">
        <v>1345</v>
      </c>
      <c r="C264" s="2" t="s">
        <v>251</v>
      </c>
      <c r="E264">
        <v>38242.535000000003</v>
      </c>
      <c r="G264">
        <v>1E-3</v>
      </c>
      <c r="I264" t="s">
        <v>1346</v>
      </c>
      <c r="J264" t="s">
        <v>1097</v>
      </c>
    </row>
    <row r="265" spans="1:10">
      <c r="A265" t="s">
        <v>1312</v>
      </c>
      <c r="B265" t="s">
        <v>1348</v>
      </c>
      <c r="C265" s="2" t="s">
        <v>252</v>
      </c>
      <c r="E265">
        <v>38123.794999999998</v>
      </c>
      <c r="G265">
        <v>3.0000000000000001E-3</v>
      </c>
      <c r="H265">
        <v>0.88</v>
      </c>
      <c r="I265" t="s">
        <v>1349</v>
      </c>
      <c r="J265" t="s">
        <v>1042</v>
      </c>
    </row>
    <row r="266" spans="1:10">
      <c r="A266" t="s">
        <v>1312</v>
      </c>
      <c r="B266" t="s">
        <v>1348</v>
      </c>
      <c r="C266" s="2" t="s">
        <v>1702</v>
      </c>
      <c r="E266">
        <v>38220.663</v>
      </c>
      <c r="G266">
        <v>2E-3</v>
      </c>
      <c r="H266">
        <v>1.1000000000000001</v>
      </c>
      <c r="I266" t="s">
        <v>1350</v>
      </c>
      <c r="J266" t="s">
        <v>1042</v>
      </c>
    </row>
    <row r="267" spans="1:10">
      <c r="A267" t="s">
        <v>1312</v>
      </c>
      <c r="B267" t="s">
        <v>1351</v>
      </c>
      <c r="C267" s="2" t="s">
        <v>251</v>
      </c>
      <c r="E267">
        <v>38245.828999999998</v>
      </c>
      <c r="G267">
        <v>2E-3</v>
      </c>
      <c r="H267">
        <v>0.67</v>
      </c>
      <c r="I267" t="s">
        <v>1352</v>
      </c>
      <c r="J267" t="s">
        <v>1042</v>
      </c>
    </row>
    <row r="268" spans="1:10">
      <c r="A268" t="s">
        <v>1312</v>
      </c>
      <c r="B268" t="s">
        <v>1351</v>
      </c>
      <c r="C268" s="2" t="s">
        <v>252</v>
      </c>
      <c r="E268">
        <v>38323.923999999999</v>
      </c>
      <c r="G268">
        <v>2E-3</v>
      </c>
      <c r="H268">
        <v>0.93</v>
      </c>
      <c r="I268" t="s">
        <v>1353</v>
      </c>
      <c r="J268" t="s">
        <v>1042</v>
      </c>
    </row>
    <row r="269" spans="1:10">
      <c r="A269" t="s">
        <v>1312</v>
      </c>
      <c r="B269" t="s">
        <v>1351</v>
      </c>
      <c r="C269" s="2" t="s">
        <v>1702</v>
      </c>
      <c r="E269">
        <v>38405.067000000003</v>
      </c>
      <c r="G269">
        <v>3.0000000000000001E-3</v>
      </c>
      <c r="H269">
        <v>1.1100000000000001</v>
      </c>
      <c r="I269" t="s">
        <v>1354</v>
      </c>
      <c r="J269" t="s">
        <v>1042</v>
      </c>
    </row>
    <row r="270" spans="1:10">
      <c r="A270" t="s">
        <v>1312</v>
      </c>
      <c r="B270" t="s">
        <v>1351</v>
      </c>
      <c r="C270" s="2" t="s">
        <v>720</v>
      </c>
      <c r="E270">
        <v>38483.044999999998</v>
      </c>
      <c r="G270">
        <v>2E-3</v>
      </c>
      <c r="H270">
        <v>1.22</v>
      </c>
      <c r="I270" t="s">
        <v>1355</v>
      </c>
      <c r="J270" t="s">
        <v>1042</v>
      </c>
    </row>
    <row r="271" spans="1:10">
      <c r="A271" t="s">
        <v>1228</v>
      </c>
      <c r="B271" t="s">
        <v>1356</v>
      </c>
      <c r="C271" s="2" t="s">
        <v>252</v>
      </c>
      <c r="E271">
        <v>38529.83</v>
      </c>
      <c r="G271">
        <v>4.0000000000000001E-3</v>
      </c>
      <c r="H271">
        <v>0.99</v>
      </c>
      <c r="I271" t="s">
        <v>1357</v>
      </c>
      <c r="J271" t="s">
        <v>1042</v>
      </c>
    </row>
    <row r="272" spans="1:10">
      <c r="A272" t="s">
        <v>1228</v>
      </c>
      <c r="B272" t="s">
        <v>1356</v>
      </c>
      <c r="C272" s="2" t="s">
        <v>251</v>
      </c>
      <c r="E272">
        <v>38610.898999999998</v>
      </c>
      <c r="G272">
        <v>6.0000000000000001E-3</v>
      </c>
      <c r="H272" t="s">
        <v>1358</v>
      </c>
      <c r="I272" t="s">
        <v>1359</v>
      </c>
      <c r="J272" t="s">
        <v>1042</v>
      </c>
    </row>
    <row r="273" spans="1:10">
      <c r="A273" t="s">
        <v>1228</v>
      </c>
      <c r="B273" t="s">
        <v>1360</v>
      </c>
      <c r="C273" s="2" t="s">
        <v>1702</v>
      </c>
      <c r="E273">
        <v>39008.669000000002</v>
      </c>
      <c r="G273">
        <v>4.0000000000000001E-3</v>
      </c>
      <c r="H273">
        <v>0.92</v>
      </c>
      <c r="I273" t="s">
        <v>1361</v>
      </c>
      <c r="J273" t="s">
        <v>1042</v>
      </c>
    </row>
    <row r="274" spans="1:10">
      <c r="A274" t="s">
        <v>1228</v>
      </c>
      <c r="B274" t="s">
        <v>1360</v>
      </c>
      <c r="C274" s="2" t="s">
        <v>720</v>
      </c>
      <c r="E274">
        <v>39081.269999999997</v>
      </c>
      <c r="G274">
        <v>5.0000000000000001E-3</v>
      </c>
      <c r="H274">
        <v>1.06</v>
      </c>
      <c r="I274" t="s">
        <v>1362</v>
      </c>
      <c r="J274" t="s">
        <v>1042</v>
      </c>
    </row>
    <row r="275" spans="1:10">
      <c r="A275" t="s">
        <v>1327</v>
      </c>
      <c r="B275" t="s">
        <v>1363</v>
      </c>
      <c r="C275" s="2" t="s">
        <v>250</v>
      </c>
      <c r="E275">
        <v>39127.228000000003</v>
      </c>
      <c r="G275">
        <v>2E-3</v>
      </c>
      <c r="H275" t="s">
        <v>1364</v>
      </c>
      <c r="I275" t="s">
        <v>1365</v>
      </c>
      <c r="J275" t="s">
        <v>1042</v>
      </c>
    </row>
    <row r="276" spans="1:10">
      <c r="A276" t="s">
        <v>1327</v>
      </c>
      <c r="B276" t="s">
        <v>1363</v>
      </c>
      <c r="C276" s="2" t="s">
        <v>249</v>
      </c>
      <c r="E276">
        <v>39241.383999999998</v>
      </c>
      <c r="G276">
        <v>1.1999999999999999E-3</v>
      </c>
      <c r="H276">
        <v>1.03</v>
      </c>
      <c r="I276" t="s">
        <v>1366</v>
      </c>
      <c r="J276" t="s">
        <v>1042</v>
      </c>
    </row>
    <row r="277" spans="1:10">
      <c r="A277" t="s">
        <v>1327</v>
      </c>
      <c r="B277" t="s">
        <v>1363</v>
      </c>
      <c r="C277" s="2" t="s">
        <v>251</v>
      </c>
      <c r="E277">
        <v>39398.892999999996</v>
      </c>
      <c r="G277">
        <v>2E-3</v>
      </c>
      <c r="H277" t="s">
        <v>1367</v>
      </c>
      <c r="I277" t="s">
        <v>1366</v>
      </c>
      <c r="J277" t="s">
        <v>1042</v>
      </c>
    </row>
    <row r="278" spans="1:10">
      <c r="A278" t="s">
        <v>1327</v>
      </c>
      <c r="B278" t="s">
        <v>1363</v>
      </c>
      <c r="C278" s="2" t="s">
        <v>252</v>
      </c>
      <c r="E278">
        <v>39596.987999999998</v>
      </c>
      <c r="G278">
        <v>1E-3</v>
      </c>
      <c r="H278" t="s">
        <v>224</v>
      </c>
      <c r="I278" t="s">
        <v>1368</v>
      </c>
      <c r="J278" t="s">
        <v>1042</v>
      </c>
    </row>
    <row r="279" spans="1:10">
      <c r="A279" t="s">
        <v>1218</v>
      </c>
      <c r="B279" t="s">
        <v>1369</v>
      </c>
      <c r="C279" s="2" t="s">
        <v>248</v>
      </c>
      <c r="E279">
        <v>39237.201999999997</v>
      </c>
      <c r="G279">
        <v>1.1999999999999999E-3</v>
      </c>
      <c r="H279">
        <v>2.57</v>
      </c>
      <c r="I279" t="s">
        <v>1370</v>
      </c>
      <c r="J279" t="s">
        <v>1042</v>
      </c>
    </row>
    <row r="280" spans="1:10">
      <c r="A280" t="s">
        <v>1218</v>
      </c>
      <c r="B280" t="s">
        <v>1369</v>
      </c>
      <c r="C280" s="2" t="s">
        <v>250</v>
      </c>
      <c r="E280">
        <v>39248.928</v>
      </c>
      <c r="G280">
        <v>1.1999999999999999E-3</v>
      </c>
      <c r="H280">
        <v>1.6</v>
      </c>
      <c r="I280" t="s">
        <v>1371</v>
      </c>
      <c r="J280" t="s">
        <v>1042</v>
      </c>
    </row>
    <row r="281" spans="1:10">
      <c r="A281" t="s">
        <v>1218</v>
      </c>
      <c r="B281" t="s">
        <v>1369</v>
      </c>
      <c r="C281" s="2" t="s">
        <v>249</v>
      </c>
      <c r="E281">
        <v>39422.745000000003</v>
      </c>
      <c r="G281">
        <v>1.1999999999999999E-3</v>
      </c>
      <c r="H281">
        <v>1.52</v>
      </c>
      <c r="I281" t="s">
        <v>1372</v>
      </c>
      <c r="J281" t="s">
        <v>1042</v>
      </c>
    </row>
    <row r="282" spans="1:10">
      <c r="A282" t="s">
        <v>1284</v>
      </c>
      <c r="B282" t="s">
        <v>1373</v>
      </c>
      <c r="C282" s="2" t="s">
        <v>250</v>
      </c>
      <c r="E282">
        <v>39266.68</v>
      </c>
      <c r="G282">
        <v>3.0000000000000001E-3</v>
      </c>
      <c r="H282">
        <v>0.54</v>
      </c>
      <c r="I282" t="s">
        <v>1374</v>
      </c>
      <c r="J282" t="s">
        <v>1042</v>
      </c>
    </row>
    <row r="283" spans="1:10">
      <c r="A283" t="s">
        <v>1284</v>
      </c>
      <c r="B283" t="s">
        <v>1373</v>
      </c>
      <c r="C283" s="2" t="s">
        <v>249</v>
      </c>
      <c r="E283">
        <v>39300.536999999997</v>
      </c>
      <c r="G283">
        <v>1E-3</v>
      </c>
      <c r="H283">
        <v>1</v>
      </c>
      <c r="I283" t="s">
        <v>1375</v>
      </c>
      <c r="J283" t="s">
        <v>1042</v>
      </c>
    </row>
    <row r="284" spans="1:10">
      <c r="A284" t="s">
        <v>1284</v>
      </c>
      <c r="B284" t="s">
        <v>1373</v>
      </c>
      <c r="C284" s="2" t="s">
        <v>251</v>
      </c>
      <c r="E284">
        <v>39341.784</v>
      </c>
      <c r="G284">
        <v>2E-3</v>
      </c>
      <c r="H284">
        <v>1.21</v>
      </c>
      <c r="I284" t="s">
        <v>1375</v>
      </c>
      <c r="J284" t="s">
        <v>1042</v>
      </c>
    </row>
    <row r="285" spans="1:10">
      <c r="A285" t="s">
        <v>1284</v>
      </c>
      <c r="B285" t="s">
        <v>1373</v>
      </c>
      <c r="C285" s="2" t="s">
        <v>252</v>
      </c>
      <c r="E285">
        <v>39391.078999999998</v>
      </c>
      <c r="G285">
        <v>2E-3</v>
      </c>
      <c r="H285">
        <v>1.3</v>
      </c>
      <c r="I285" t="s">
        <v>1376</v>
      </c>
      <c r="J285" t="s">
        <v>1042</v>
      </c>
    </row>
    <row r="286" spans="1:10">
      <c r="A286" t="s">
        <v>1218</v>
      </c>
      <c r="B286" t="s">
        <v>1377</v>
      </c>
      <c r="C286" s="2" t="s">
        <v>250</v>
      </c>
      <c r="E286">
        <v>39847.343999999997</v>
      </c>
      <c r="G286">
        <v>1.5E-3</v>
      </c>
      <c r="H286">
        <v>2</v>
      </c>
      <c r="I286" t="s">
        <v>1378</v>
      </c>
      <c r="J286" t="s">
        <v>1042</v>
      </c>
    </row>
    <row r="287" spans="1:10">
      <c r="A287" t="s">
        <v>1284</v>
      </c>
      <c r="B287" t="s">
        <v>1379</v>
      </c>
      <c r="C287" s="2" t="s">
        <v>248</v>
      </c>
      <c r="E287">
        <v>39877.786</v>
      </c>
      <c r="G287">
        <v>4.0000000000000001E-3</v>
      </c>
      <c r="H287">
        <v>0.01</v>
      </c>
      <c r="I287" t="s">
        <v>1380</v>
      </c>
      <c r="J287" t="s">
        <v>1042</v>
      </c>
    </row>
    <row r="288" spans="1:10">
      <c r="A288" t="s">
        <v>1284</v>
      </c>
      <c r="B288" t="s">
        <v>1379</v>
      </c>
      <c r="C288" s="2" t="s">
        <v>250</v>
      </c>
      <c r="E288">
        <v>39935.175999999999</v>
      </c>
      <c r="G288">
        <v>5.0000000000000001E-3</v>
      </c>
      <c r="H288">
        <v>1.1000000000000001</v>
      </c>
      <c r="I288" t="s">
        <v>1381</v>
      </c>
      <c r="J288" t="s">
        <v>1042</v>
      </c>
    </row>
    <row r="289" spans="1:10">
      <c r="A289" t="s">
        <v>1284</v>
      </c>
      <c r="B289" t="s">
        <v>1379</v>
      </c>
      <c r="C289" s="2" t="s">
        <v>249</v>
      </c>
      <c r="E289">
        <v>39999.966</v>
      </c>
      <c r="G289">
        <v>4.0000000000000001E-3</v>
      </c>
      <c r="H289">
        <v>1.33</v>
      </c>
      <c r="I289" t="s">
        <v>1382</v>
      </c>
      <c r="J289" t="s">
        <v>1042</v>
      </c>
    </row>
    <row r="290" spans="1:10">
      <c r="A290" t="s">
        <v>1284</v>
      </c>
      <c r="B290" t="s">
        <v>1379</v>
      </c>
      <c r="C290" s="2" t="s">
        <v>251</v>
      </c>
      <c r="E290">
        <v>40125.879000000001</v>
      </c>
      <c r="G290">
        <v>2E-3</v>
      </c>
      <c r="H290">
        <v>1.38</v>
      </c>
      <c r="I290" t="s">
        <v>1383</v>
      </c>
      <c r="J290" t="s">
        <v>1042</v>
      </c>
    </row>
    <row r="291" spans="1:10">
      <c r="A291" t="s">
        <v>1218</v>
      </c>
      <c r="B291" t="s">
        <v>1384</v>
      </c>
      <c r="C291" s="2" t="s">
        <v>250</v>
      </c>
      <c r="E291">
        <v>39884.54</v>
      </c>
      <c r="G291">
        <v>2E-3</v>
      </c>
      <c r="H291">
        <v>0.92</v>
      </c>
      <c r="I291" t="s">
        <v>1385</v>
      </c>
      <c r="J291" t="s">
        <v>1042</v>
      </c>
    </row>
    <row r="292" spans="1:10">
      <c r="A292" t="s">
        <v>1218</v>
      </c>
      <c r="B292" t="s">
        <v>1384</v>
      </c>
      <c r="C292" s="2" t="s">
        <v>249</v>
      </c>
      <c r="E292">
        <v>40119.218000000001</v>
      </c>
      <c r="F292" t="s">
        <v>1155</v>
      </c>
      <c r="G292">
        <v>4.0000000000000001E-3</v>
      </c>
      <c r="H292">
        <v>1.1399999999999999</v>
      </c>
      <c r="I292" t="s">
        <v>1386</v>
      </c>
      <c r="J292" t="s">
        <v>1042</v>
      </c>
    </row>
    <row r="293" spans="1:10">
      <c r="A293" t="s">
        <v>1312</v>
      </c>
      <c r="B293" t="s">
        <v>1387</v>
      </c>
      <c r="C293" s="2" t="s">
        <v>249</v>
      </c>
      <c r="E293">
        <v>39962.15</v>
      </c>
      <c r="G293">
        <v>4.0000000000000001E-3</v>
      </c>
      <c r="H293">
        <v>0.53</v>
      </c>
      <c r="I293" t="s">
        <v>1388</v>
      </c>
      <c r="J293" t="s">
        <v>1042</v>
      </c>
    </row>
    <row r="294" spans="1:10">
      <c r="A294" t="s">
        <v>1312</v>
      </c>
      <c r="B294" t="s">
        <v>1387</v>
      </c>
      <c r="C294" s="2" t="s">
        <v>251</v>
      </c>
      <c r="E294">
        <v>40001.19</v>
      </c>
      <c r="G294">
        <v>1E-3</v>
      </c>
      <c r="H294">
        <v>0.99</v>
      </c>
      <c r="I294" t="s">
        <v>1389</v>
      </c>
      <c r="J294" t="s">
        <v>1042</v>
      </c>
    </row>
    <row r="295" spans="1:10">
      <c r="A295" t="s">
        <v>1312</v>
      </c>
      <c r="B295" t="s">
        <v>1387</v>
      </c>
      <c r="C295" s="2" t="s">
        <v>252</v>
      </c>
      <c r="E295">
        <v>40038.97</v>
      </c>
      <c r="G295">
        <v>3.0000000000000001E-3</v>
      </c>
      <c r="H295">
        <v>1.19</v>
      </c>
      <c r="I295" t="s">
        <v>1390</v>
      </c>
      <c r="J295" t="s">
        <v>1042</v>
      </c>
    </row>
    <row r="296" spans="1:10">
      <c r="A296" t="s">
        <v>1312</v>
      </c>
      <c r="B296" t="s">
        <v>1387</v>
      </c>
      <c r="C296" s="2" t="s">
        <v>1702</v>
      </c>
      <c r="E296">
        <v>40063.874000000003</v>
      </c>
      <c r="G296">
        <v>2E-3</v>
      </c>
      <c r="H296">
        <v>1.23</v>
      </c>
      <c r="I296" t="s">
        <v>1391</v>
      </c>
      <c r="J296" t="s">
        <v>1042</v>
      </c>
    </row>
    <row r="297" spans="1:10">
      <c r="A297" t="s">
        <v>1392</v>
      </c>
      <c r="B297" t="s">
        <v>1393</v>
      </c>
      <c r="C297" s="2" t="s">
        <v>251</v>
      </c>
      <c r="E297">
        <v>40314.881999999998</v>
      </c>
      <c r="G297">
        <v>2E-3</v>
      </c>
      <c r="H297">
        <v>0.65</v>
      </c>
      <c r="I297" t="s">
        <v>1394</v>
      </c>
      <c r="J297" t="s">
        <v>1042</v>
      </c>
    </row>
    <row r="298" spans="1:10">
      <c r="A298" t="s">
        <v>1392</v>
      </c>
      <c r="B298" t="s">
        <v>1393</v>
      </c>
      <c r="C298" s="2" t="s">
        <v>252</v>
      </c>
      <c r="E298">
        <v>40378.811999999998</v>
      </c>
      <c r="G298">
        <v>2E-3</v>
      </c>
      <c r="H298">
        <v>0.92</v>
      </c>
      <c r="I298" t="s">
        <v>1395</v>
      </c>
      <c r="J298" t="s">
        <v>1042</v>
      </c>
    </row>
    <row r="299" spans="1:10">
      <c r="A299" t="s">
        <v>1392</v>
      </c>
      <c r="B299" t="s">
        <v>1393</v>
      </c>
      <c r="C299" s="2" t="s">
        <v>1702</v>
      </c>
      <c r="E299">
        <v>40452.466</v>
      </c>
      <c r="G299">
        <v>2E-3</v>
      </c>
      <c r="H299">
        <v>1.08</v>
      </c>
      <c r="I299" t="s">
        <v>1396</v>
      </c>
      <c r="J299" t="s">
        <v>1042</v>
      </c>
    </row>
    <row r="300" spans="1:10">
      <c r="A300" t="s">
        <v>1392</v>
      </c>
      <c r="B300" t="s">
        <v>1393</v>
      </c>
      <c r="C300" s="2" t="s">
        <v>720</v>
      </c>
      <c r="E300">
        <v>40535.728999999999</v>
      </c>
      <c r="G300">
        <v>3.0000000000000001E-3</v>
      </c>
      <c r="H300">
        <v>1.22</v>
      </c>
      <c r="I300" t="s">
        <v>1397</v>
      </c>
      <c r="J300" t="s">
        <v>1042</v>
      </c>
    </row>
    <row r="301" spans="1:10">
      <c r="A301" t="s">
        <v>1392</v>
      </c>
      <c r="B301" t="s">
        <v>219</v>
      </c>
      <c r="C301" s="2" t="s">
        <v>249</v>
      </c>
      <c r="E301">
        <v>40325.79</v>
      </c>
      <c r="G301">
        <v>0.01</v>
      </c>
      <c r="H301">
        <v>1.1200000000000001</v>
      </c>
      <c r="I301" t="s">
        <v>1398</v>
      </c>
      <c r="J301" t="s">
        <v>1042</v>
      </c>
    </row>
    <row r="302" spans="1:10">
      <c r="A302" t="s">
        <v>1392</v>
      </c>
      <c r="B302" t="s">
        <v>219</v>
      </c>
      <c r="C302" s="2" t="s">
        <v>251</v>
      </c>
      <c r="E302">
        <v>40587.356</v>
      </c>
      <c r="G302">
        <v>4.0000000000000001E-3</v>
      </c>
      <c r="H302" t="s">
        <v>1399</v>
      </c>
      <c r="I302" t="s">
        <v>1400</v>
      </c>
      <c r="J302" t="s">
        <v>1128</v>
      </c>
    </row>
    <row r="303" spans="1:10">
      <c r="A303" t="s">
        <v>1266</v>
      </c>
      <c r="B303" t="s">
        <v>218</v>
      </c>
      <c r="C303" s="2" t="s">
        <v>250</v>
      </c>
      <c r="E303">
        <v>40388.940999999999</v>
      </c>
      <c r="G303">
        <v>6.0000000000000001E-3</v>
      </c>
      <c r="I303" t="s">
        <v>1401</v>
      </c>
      <c r="J303" t="s">
        <v>1097</v>
      </c>
    </row>
    <row r="304" spans="1:10">
      <c r="A304" t="s">
        <v>1266</v>
      </c>
      <c r="B304" t="s">
        <v>218</v>
      </c>
      <c r="C304" s="2" t="s">
        <v>249</v>
      </c>
      <c r="E304">
        <v>40553.222000000002</v>
      </c>
      <c r="F304" t="s">
        <v>1155</v>
      </c>
      <c r="G304">
        <v>3.0000000000000001E-3</v>
      </c>
      <c r="I304" t="s">
        <v>1402</v>
      </c>
      <c r="J304" t="s">
        <v>1097</v>
      </c>
    </row>
    <row r="305" spans="1:10">
      <c r="A305" t="s">
        <v>1216</v>
      </c>
      <c r="B305" t="s">
        <v>1403</v>
      </c>
      <c r="C305" s="2" t="s">
        <v>248</v>
      </c>
      <c r="E305">
        <v>40504.099000000002</v>
      </c>
      <c r="G305">
        <v>6.0000000000000001E-3</v>
      </c>
      <c r="I305" t="s">
        <v>1404</v>
      </c>
      <c r="J305" t="s">
        <v>1097</v>
      </c>
    </row>
    <row r="306" spans="1:10">
      <c r="A306" t="s">
        <v>1216</v>
      </c>
      <c r="B306" t="s">
        <v>1403</v>
      </c>
      <c r="C306" s="2" t="s">
        <v>250</v>
      </c>
      <c r="E306">
        <v>40693.786999999997</v>
      </c>
      <c r="G306">
        <v>6.0000000000000001E-3</v>
      </c>
      <c r="I306" t="s">
        <v>1405</v>
      </c>
      <c r="J306" t="s">
        <v>1097</v>
      </c>
    </row>
    <row r="307" spans="1:10">
      <c r="A307" t="s">
        <v>1392</v>
      </c>
      <c r="B307" t="s">
        <v>1406</v>
      </c>
      <c r="C307" s="2" t="s">
        <v>250</v>
      </c>
      <c r="E307">
        <v>41389.644</v>
      </c>
      <c r="G307">
        <v>3.0000000000000001E-3</v>
      </c>
      <c r="H307">
        <v>0.42</v>
      </c>
      <c r="I307" t="s">
        <v>1407</v>
      </c>
      <c r="J307" t="s">
        <v>1042</v>
      </c>
    </row>
    <row r="308" spans="1:10">
      <c r="A308" t="s">
        <v>1392</v>
      </c>
      <c r="B308" t="s">
        <v>1406</v>
      </c>
      <c r="C308" s="2" t="s">
        <v>249</v>
      </c>
      <c r="E308">
        <v>41429.042000000001</v>
      </c>
      <c r="G308">
        <v>3.0000000000000001E-3</v>
      </c>
      <c r="H308">
        <v>0.89</v>
      </c>
      <c r="I308" t="s">
        <v>1408</v>
      </c>
      <c r="J308" t="s">
        <v>1042</v>
      </c>
    </row>
    <row r="309" spans="1:10">
      <c r="A309" t="s">
        <v>1392</v>
      </c>
      <c r="B309" t="s">
        <v>1406</v>
      </c>
      <c r="C309" s="2" t="s">
        <v>251</v>
      </c>
      <c r="E309">
        <v>41492.385000000002</v>
      </c>
      <c r="F309" t="s">
        <v>1155</v>
      </c>
      <c r="G309">
        <v>2E-3</v>
      </c>
      <c r="H309">
        <v>1.1499999999999999</v>
      </c>
      <c r="I309" t="s">
        <v>1409</v>
      </c>
      <c r="J309" t="s">
        <v>1042</v>
      </c>
    </row>
    <row r="310" spans="1:10">
      <c r="A310" t="s">
        <v>1392</v>
      </c>
      <c r="B310" t="s">
        <v>1406</v>
      </c>
      <c r="C310" s="2" t="s">
        <v>252</v>
      </c>
      <c r="E310">
        <v>41599.436000000002</v>
      </c>
      <c r="G310">
        <v>2E-3</v>
      </c>
      <c r="H310">
        <v>1.23</v>
      </c>
      <c r="I310" t="s">
        <v>1410</v>
      </c>
      <c r="J310" t="s">
        <v>1042</v>
      </c>
    </row>
    <row r="311" spans="1:10">
      <c r="A311" t="s">
        <v>1392</v>
      </c>
      <c r="B311" t="s">
        <v>1411</v>
      </c>
      <c r="C311" s="2" t="s">
        <v>251</v>
      </c>
      <c r="E311">
        <v>41436.61</v>
      </c>
      <c r="F311" t="s">
        <v>1155</v>
      </c>
      <c r="G311">
        <v>4.0000000000000001E-3</v>
      </c>
      <c r="H311">
        <v>0.9</v>
      </c>
      <c r="I311" t="s">
        <v>1412</v>
      </c>
      <c r="J311" t="s">
        <v>1042</v>
      </c>
    </row>
    <row r="312" spans="1:10">
      <c r="A312" t="s">
        <v>1392</v>
      </c>
      <c r="B312" t="s">
        <v>1411</v>
      </c>
      <c r="C312" s="2" t="s">
        <v>252</v>
      </c>
      <c r="E312">
        <v>41539.184999999998</v>
      </c>
      <c r="G312">
        <v>4.0000000000000001E-3</v>
      </c>
      <c r="H312">
        <v>1.04</v>
      </c>
      <c r="I312" t="s">
        <v>1413</v>
      </c>
      <c r="J312" t="s">
        <v>1042</v>
      </c>
    </row>
    <row r="313" spans="1:10">
      <c r="A313" t="s">
        <v>1392</v>
      </c>
      <c r="B313" t="s">
        <v>1414</v>
      </c>
      <c r="C313" s="2" t="s">
        <v>252</v>
      </c>
      <c r="E313">
        <v>41501.449000000001</v>
      </c>
      <c r="G313">
        <v>4.0000000000000001E-3</v>
      </c>
      <c r="H313">
        <v>0.87</v>
      </c>
      <c r="I313" t="s">
        <v>1415</v>
      </c>
      <c r="J313" t="s">
        <v>1042</v>
      </c>
    </row>
    <row r="314" spans="1:10">
      <c r="A314" t="s">
        <v>1392</v>
      </c>
      <c r="B314" t="s">
        <v>1414</v>
      </c>
      <c r="C314" s="2" t="s">
        <v>1702</v>
      </c>
      <c r="E314">
        <v>41659.671999999999</v>
      </c>
      <c r="G314">
        <v>4.0000000000000001E-3</v>
      </c>
      <c r="H314">
        <v>1.05</v>
      </c>
      <c r="I314" t="s">
        <v>1416</v>
      </c>
      <c r="J314" t="s">
        <v>1042</v>
      </c>
    </row>
    <row r="315" spans="1:10">
      <c r="A315" t="s">
        <v>1392</v>
      </c>
      <c r="B315" t="s">
        <v>1417</v>
      </c>
      <c r="C315" s="2" t="s">
        <v>249</v>
      </c>
      <c r="E315">
        <v>41654.726000000002</v>
      </c>
      <c r="G315">
        <v>1.1999999999999999E-3</v>
      </c>
      <c r="H315">
        <v>0.57999999999999996</v>
      </c>
      <c r="I315" t="s">
        <v>1418</v>
      </c>
      <c r="J315" t="s">
        <v>1042</v>
      </c>
    </row>
    <row r="316" spans="1:10">
      <c r="A316" t="s">
        <v>1392</v>
      </c>
      <c r="B316" t="s">
        <v>1417</v>
      </c>
      <c r="C316" s="2" t="s">
        <v>251</v>
      </c>
      <c r="E316">
        <v>41758.357000000004</v>
      </c>
      <c r="G316">
        <v>2E-3</v>
      </c>
      <c r="H316">
        <v>1.03</v>
      </c>
      <c r="I316" t="s">
        <v>1419</v>
      </c>
      <c r="J316" t="s">
        <v>1042</v>
      </c>
    </row>
    <row r="317" spans="1:10">
      <c r="A317" t="s">
        <v>1392</v>
      </c>
      <c r="B317" t="s">
        <v>1417</v>
      </c>
      <c r="C317" s="2" t="s">
        <v>252</v>
      </c>
      <c r="E317">
        <v>41860.646999999997</v>
      </c>
      <c r="G317">
        <v>2E-3</v>
      </c>
      <c r="H317">
        <v>1.2</v>
      </c>
      <c r="I317" t="s">
        <v>1420</v>
      </c>
      <c r="J317" t="s">
        <v>1042</v>
      </c>
    </row>
    <row r="318" spans="1:10">
      <c r="A318" t="s">
        <v>1392</v>
      </c>
      <c r="B318" t="s">
        <v>1417</v>
      </c>
      <c r="C318" s="2" t="s">
        <v>1702</v>
      </c>
      <c r="E318">
        <v>41918.254999999997</v>
      </c>
      <c r="G318">
        <v>3.0000000000000001E-3</v>
      </c>
      <c r="H318">
        <v>1.2</v>
      </c>
      <c r="I318" t="s">
        <v>1421</v>
      </c>
      <c r="J318" t="s">
        <v>1042</v>
      </c>
    </row>
    <row r="319" spans="1:10">
      <c r="A319" t="s">
        <v>1422</v>
      </c>
      <c r="B319" t="s">
        <v>1423</v>
      </c>
      <c r="C319" s="2" t="s">
        <v>248</v>
      </c>
      <c r="E319">
        <v>41751.930999999997</v>
      </c>
      <c r="G319">
        <v>8.0000000000000002E-3</v>
      </c>
      <c r="H319">
        <v>2.56</v>
      </c>
      <c r="I319" t="s">
        <v>1424</v>
      </c>
      <c r="J319" t="s">
        <v>1042</v>
      </c>
    </row>
    <row r="320" spans="1:10">
      <c r="A320" t="s">
        <v>1422</v>
      </c>
      <c r="B320" t="s">
        <v>1423</v>
      </c>
      <c r="C320" s="2" t="s">
        <v>250</v>
      </c>
      <c r="E320">
        <v>41848.707999999999</v>
      </c>
      <c r="G320">
        <v>2E-3</v>
      </c>
      <c r="H320">
        <v>1.62</v>
      </c>
      <c r="I320" t="s">
        <v>1425</v>
      </c>
      <c r="J320" t="s">
        <v>1042</v>
      </c>
    </row>
    <row r="321" spans="1:10">
      <c r="A321" t="s">
        <v>1422</v>
      </c>
      <c r="B321" t="s">
        <v>1423</v>
      </c>
      <c r="C321" s="2" t="s">
        <v>249</v>
      </c>
      <c r="E321">
        <v>42009.911999999997</v>
      </c>
      <c r="G321">
        <v>2E-3</v>
      </c>
      <c r="H321">
        <v>1.48</v>
      </c>
      <c r="I321" t="s">
        <v>1426</v>
      </c>
      <c r="J321" t="s">
        <v>1042</v>
      </c>
    </row>
    <row r="322" spans="1:10">
      <c r="A322" t="s">
        <v>1422</v>
      </c>
      <c r="B322" t="s">
        <v>1427</v>
      </c>
      <c r="C322" s="2" t="s">
        <v>248</v>
      </c>
      <c r="E322">
        <v>41928.472999999998</v>
      </c>
      <c r="G322">
        <v>2E-3</v>
      </c>
      <c r="H322">
        <v>0.04</v>
      </c>
      <c r="I322" t="s">
        <v>1428</v>
      </c>
      <c r="J322" t="s">
        <v>1042</v>
      </c>
    </row>
    <row r="323" spans="1:10">
      <c r="A323" t="s">
        <v>1422</v>
      </c>
      <c r="B323" t="s">
        <v>1427</v>
      </c>
      <c r="C323" s="2" t="s">
        <v>250</v>
      </c>
      <c r="E323">
        <v>41999.260999999999</v>
      </c>
      <c r="G323">
        <v>2E-3</v>
      </c>
      <c r="H323">
        <v>1.2</v>
      </c>
      <c r="I323" t="s">
        <v>1429</v>
      </c>
      <c r="J323" t="s">
        <v>1042</v>
      </c>
    </row>
    <row r="324" spans="1:10">
      <c r="A324" t="s">
        <v>1422</v>
      </c>
      <c r="B324" t="s">
        <v>1427</v>
      </c>
      <c r="C324" s="2" t="s">
        <v>249</v>
      </c>
      <c r="E324">
        <v>42138.061999999998</v>
      </c>
      <c r="G324">
        <v>2E-3</v>
      </c>
      <c r="H324">
        <v>1.33</v>
      </c>
      <c r="I324" t="s">
        <v>1430</v>
      </c>
      <c r="J324" t="s">
        <v>1042</v>
      </c>
    </row>
    <row r="325" spans="1:10">
      <c r="A325" t="s">
        <v>1422</v>
      </c>
      <c r="B325" t="s">
        <v>1427</v>
      </c>
      <c r="C325" s="2" t="s">
        <v>251</v>
      </c>
      <c r="E325">
        <v>42245.489000000001</v>
      </c>
      <c r="F325" t="s">
        <v>1155</v>
      </c>
      <c r="G325">
        <v>1E-3</v>
      </c>
      <c r="H325">
        <v>1.36</v>
      </c>
      <c r="I325" t="s">
        <v>1429</v>
      </c>
      <c r="J325" t="s">
        <v>1042</v>
      </c>
    </row>
    <row r="326" spans="1:10">
      <c r="A326" t="s">
        <v>1431</v>
      </c>
      <c r="B326" t="s">
        <v>1432</v>
      </c>
      <c r="C326" s="2" t="s">
        <v>249</v>
      </c>
      <c r="E326">
        <v>41950.392999999996</v>
      </c>
      <c r="G326">
        <v>3.0000000000000001E-3</v>
      </c>
      <c r="H326">
        <v>0.84</v>
      </c>
      <c r="I326" t="s">
        <v>1433</v>
      </c>
      <c r="J326" t="s">
        <v>1042</v>
      </c>
    </row>
    <row r="327" spans="1:10">
      <c r="A327" t="s">
        <v>1431</v>
      </c>
      <c r="B327" t="s">
        <v>1432</v>
      </c>
      <c r="C327" s="2" t="s">
        <v>251</v>
      </c>
      <c r="E327">
        <v>42020.902999999998</v>
      </c>
      <c r="G327">
        <v>3.0000000000000001E-3</v>
      </c>
      <c r="H327">
        <v>1.1100000000000001</v>
      </c>
      <c r="I327" t="s">
        <v>1434</v>
      </c>
      <c r="J327" t="s">
        <v>1042</v>
      </c>
    </row>
    <row r="328" spans="1:10">
      <c r="A328" t="s">
        <v>1435</v>
      </c>
      <c r="B328" t="s">
        <v>1436</v>
      </c>
      <c r="C328" s="2" t="s">
        <v>250</v>
      </c>
      <c r="E328">
        <v>42034.057999999997</v>
      </c>
      <c r="G328">
        <v>3.5000000000000003E-2</v>
      </c>
      <c r="I328" t="s">
        <v>1437</v>
      </c>
      <c r="J328" t="s">
        <v>1097</v>
      </c>
    </row>
    <row r="329" spans="1:10">
      <c r="A329" t="s">
        <v>1435</v>
      </c>
      <c r="B329" t="s">
        <v>1436</v>
      </c>
      <c r="C329" s="2" t="s">
        <v>249</v>
      </c>
      <c r="E329">
        <v>42067.285000000003</v>
      </c>
      <c r="G329">
        <v>4.0000000000000001E-3</v>
      </c>
      <c r="I329" t="s">
        <v>1438</v>
      </c>
      <c r="J329" t="s">
        <v>1097</v>
      </c>
    </row>
    <row r="330" spans="1:10">
      <c r="A330" t="s">
        <v>1435</v>
      </c>
      <c r="B330" t="s">
        <v>1436</v>
      </c>
      <c r="C330" s="2" t="s">
        <v>251</v>
      </c>
      <c r="E330">
        <v>42114.332999999999</v>
      </c>
      <c r="G330">
        <v>7.0000000000000001E-3</v>
      </c>
      <c r="H330">
        <v>1.08</v>
      </c>
      <c r="I330" t="s">
        <v>1439</v>
      </c>
      <c r="J330" t="s">
        <v>1042</v>
      </c>
    </row>
    <row r="331" spans="1:10">
      <c r="A331" t="s">
        <v>1435</v>
      </c>
      <c r="B331" t="s">
        <v>1436</v>
      </c>
      <c r="C331" s="2" t="s">
        <v>252</v>
      </c>
      <c r="E331">
        <v>42177.684999999998</v>
      </c>
      <c r="G331">
        <v>4.0000000000000001E-3</v>
      </c>
      <c r="H331">
        <v>1.23</v>
      </c>
      <c r="I331" t="s">
        <v>1440</v>
      </c>
      <c r="J331" t="s">
        <v>1042</v>
      </c>
    </row>
    <row r="332" spans="1:10">
      <c r="A332" t="s">
        <v>1435</v>
      </c>
      <c r="B332" t="s">
        <v>1436</v>
      </c>
      <c r="C332" s="2" t="s">
        <v>1702</v>
      </c>
      <c r="E332">
        <v>42257.394</v>
      </c>
      <c r="G332">
        <v>3.0000000000000001E-3</v>
      </c>
      <c r="H332">
        <v>1.32</v>
      </c>
      <c r="I332" t="s">
        <v>1441</v>
      </c>
      <c r="J332" t="s">
        <v>1042</v>
      </c>
    </row>
    <row r="333" spans="1:10">
      <c r="A333" t="s">
        <v>1435</v>
      </c>
      <c r="B333" t="s">
        <v>1436</v>
      </c>
      <c r="C333" s="2" t="s">
        <v>720</v>
      </c>
      <c r="E333">
        <v>42353.692999999999</v>
      </c>
      <c r="G333">
        <v>4.0000000000000001E-3</v>
      </c>
      <c r="H333">
        <v>1.35</v>
      </c>
      <c r="I333" t="s">
        <v>1442</v>
      </c>
      <c r="J333" t="s">
        <v>1042</v>
      </c>
    </row>
    <row r="334" spans="1:10">
      <c r="A334" t="s">
        <v>1435</v>
      </c>
      <c r="B334" t="s">
        <v>1443</v>
      </c>
      <c r="C334" s="2" t="s">
        <v>250</v>
      </c>
      <c r="E334">
        <v>42053.46</v>
      </c>
      <c r="G334">
        <v>7.0000000000000001E-3</v>
      </c>
      <c r="I334" t="s">
        <v>1444</v>
      </c>
      <c r="J334" t="s">
        <v>1097</v>
      </c>
    </row>
    <row r="335" spans="1:10">
      <c r="A335" t="s">
        <v>1435</v>
      </c>
      <c r="B335" t="s">
        <v>1443</v>
      </c>
      <c r="C335" s="2" t="s">
        <v>249</v>
      </c>
      <c r="E335">
        <v>42109.563999999998</v>
      </c>
      <c r="G335">
        <v>8.9999999999999993E-3</v>
      </c>
      <c r="I335" t="s">
        <v>1445</v>
      </c>
      <c r="J335" t="s">
        <v>1097</v>
      </c>
    </row>
    <row r="336" spans="1:10">
      <c r="A336" t="s">
        <v>1435</v>
      </c>
      <c r="B336" t="s">
        <v>1443</v>
      </c>
      <c r="C336" s="2" t="s">
        <v>251</v>
      </c>
      <c r="E336">
        <v>42164.858999999997</v>
      </c>
      <c r="G336">
        <v>4.0000000000000001E-3</v>
      </c>
      <c r="H336" t="s">
        <v>1446</v>
      </c>
      <c r="I336" t="s">
        <v>1447</v>
      </c>
      <c r="J336" t="s">
        <v>1042</v>
      </c>
    </row>
    <row r="337" spans="1:10">
      <c r="A337" t="s">
        <v>1448</v>
      </c>
      <c r="B337" t="s">
        <v>1449</v>
      </c>
      <c r="C337" s="2" t="s">
        <v>252</v>
      </c>
      <c r="E337">
        <v>42079.165000000001</v>
      </c>
      <c r="G337">
        <v>2E-3</v>
      </c>
      <c r="H337">
        <v>0.85</v>
      </c>
      <c r="I337" t="s">
        <v>1450</v>
      </c>
      <c r="J337" t="s">
        <v>1042</v>
      </c>
    </row>
    <row r="338" spans="1:10">
      <c r="A338" t="s">
        <v>1448</v>
      </c>
      <c r="B338" t="s">
        <v>1449</v>
      </c>
      <c r="C338" s="2" t="s">
        <v>1702</v>
      </c>
      <c r="E338">
        <v>42220.688999999998</v>
      </c>
      <c r="G338">
        <v>2E-3</v>
      </c>
      <c r="H338">
        <v>1.06</v>
      </c>
      <c r="I338" t="s">
        <v>1451</v>
      </c>
      <c r="J338" t="s">
        <v>1042</v>
      </c>
    </row>
    <row r="339" spans="1:10">
      <c r="A339" t="s">
        <v>1452</v>
      </c>
      <c r="B339" t="s">
        <v>1453</v>
      </c>
      <c r="C339" s="2" t="s">
        <v>248</v>
      </c>
      <c r="E339">
        <v>42090.74</v>
      </c>
      <c r="G339">
        <v>4.0000000000000001E-3</v>
      </c>
      <c r="I339">
        <v>98</v>
      </c>
      <c r="J339" t="s">
        <v>1097</v>
      </c>
    </row>
    <row r="340" spans="1:10">
      <c r="A340" t="s">
        <v>1452</v>
      </c>
      <c r="B340" t="s">
        <v>1453</v>
      </c>
      <c r="C340" s="2" t="s">
        <v>250</v>
      </c>
      <c r="E340">
        <v>42120.696000000004</v>
      </c>
      <c r="G340">
        <v>2E-3</v>
      </c>
      <c r="I340">
        <v>96</v>
      </c>
      <c r="J340" t="s">
        <v>1097</v>
      </c>
    </row>
    <row r="341" spans="1:10">
      <c r="A341" t="s">
        <v>1452</v>
      </c>
      <c r="B341" t="s">
        <v>1453</v>
      </c>
      <c r="C341" s="2" t="s">
        <v>249</v>
      </c>
      <c r="E341">
        <v>42172.123</v>
      </c>
      <c r="G341">
        <v>3.0000000000000001E-3</v>
      </c>
      <c r="I341" t="s">
        <v>1454</v>
      </c>
      <c r="J341" t="s">
        <v>1097</v>
      </c>
    </row>
    <row r="342" spans="1:10">
      <c r="A342" t="s">
        <v>1452</v>
      </c>
      <c r="B342" t="s">
        <v>1453</v>
      </c>
      <c r="C342" s="2" t="s">
        <v>251</v>
      </c>
      <c r="E342">
        <v>42236.620999999999</v>
      </c>
      <c r="F342" t="s">
        <v>1155</v>
      </c>
      <c r="G342">
        <v>2E-3</v>
      </c>
      <c r="I342" t="s">
        <v>1455</v>
      </c>
      <c r="J342" t="s">
        <v>1097</v>
      </c>
    </row>
    <row r="343" spans="1:10">
      <c r="A343" t="s">
        <v>1452</v>
      </c>
      <c r="B343" t="s">
        <v>1453</v>
      </c>
      <c r="C343" s="2" t="s">
        <v>252</v>
      </c>
      <c r="E343">
        <v>42330.73</v>
      </c>
      <c r="G343">
        <v>1.2999999999999999E-3</v>
      </c>
      <c r="I343" t="s">
        <v>1454</v>
      </c>
      <c r="J343" t="s">
        <v>1097</v>
      </c>
    </row>
    <row r="344" spans="1:10">
      <c r="A344" t="s">
        <v>1452</v>
      </c>
      <c r="B344" t="s">
        <v>1453</v>
      </c>
      <c r="C344" s="2" t="s">
        <v>1702</v>
      </c>
      <c r="E344">
        <v>42440.633000000002</v>
      </c>
      <c r="G344">
        <v>2E-3</v>
      </c>
      <c r="I344">
        <v>100</v>
      </c>
      <c r="J344" t="s">
        <v>1097</v>
      </c>
    </row>
    <row r="345" spans="1:10">
      <c r="A345" t="s">
        <v>1435</v>
      </c>
      <c r="B345" t="s">
        <v>1456</v>
      </c>
      <c r="C345" s="2" t="s">
        <v>248</v>
      </c>
      <c r="E345">
        <v>42262.99</v>
      </c>
      <c r="G345">
        <v>8.9999999999999993E-3</v>
      </c>
      <c r="I345" t="s">
        <v>1457</v>
      </c>
      <c r="J345" t="s">
        <v>1097</v>
      </c>
    </row>
    <row r="346" spans="1:10">
      <c r="A346" t="s">
        <v>1435</v>
      </c>
      <c r="B346" t="s">
        <v>1456</v>
      </c>
      <c r="C346" s="2" t="s">
        <v>250</v>
      </c>
      <c r="E346">
        <v>42286.714</v>
      </c>
      <c r="G346">
        <v>5.0000000000000001E-3</v>
      </c>
      <c r="I346" t="s">
        <v>1458</v>
      </c>
      <c r="J346" t="s">
        <v>1097</v>
      </c>
    </row>
    <row r="347" spans="1:10">
      <c r="A347" t="s">
        <v>1435</v>
      </c>
      <c r="B347" t="s">
        <v>1456</v>
      </c>
      <c r="C347" s="2" t="s">
        <v>249</v>
      </c>
      <c r="E347">
        <v>42318.402999999998</v>
      </c>
      <c r="G347">
        <v>5.0000000000000001E-3</v>
      </c>
      <c r="I347" t="s">
        <v>1459</v>
      </c>
      <c r="J347" t="s">
        <v>1097</v>
      </c>
    </row>
    <row r="348" spans="1:10">
      <c r="A348" t="s">
        <v>1435</v>
      </c>
      <c r="B348" t="s">
        <v>1456</v>
      </c>
      <c r="C348" s="2" t="s">
        <v>251</v>
      </c>
      <c r="E348">
        <v>42363.79</v>
      </c>
      <c r="G348">
        <v>3.0000000000000001E-3</v>
      </c>
      <c r="I348" t="s">
        <v>1460</v>
      </c>
      <c r="J348" t="s">
        <v>1097</v>
      </c>
    </row>
    <row r="349" spans="1:10">
      <c r="A349" t="s">
        <v>1435</v>
      </c>
      <c r="B349" t="s">
        <v>1456</v>
      </c>
      <c r="C349" s="2" t="s">
        <v>252</v>
      </c>
      <c r="E349">
        <v>42506.502999999997</v>
      </c>
      <c r="G349">
        <v>6.0000000000000001E-3</v>
      </c>
      <c r="I349" t="s">
        <v>1461</v>
      </c>
      <c r="J349" t="s">
        <v>1097</v>
      </c>
    </row>
    <row r="350" spans="1:10">
      <c r="A350" t="s">
        <v>1435</v>
      </c>
      <c r="B350" t="s">
        <v>1456</v>
      </c>
      <c r="C350" s="2" t="s">
        <v>1702</v>
      </c>
      <c r="E350">
        <v>42578.093000000001</v>
      </c>
      <c r="G350">
        <v>2E-3</v>
      </c>
      <c r="H350">
        <v>1.39</v>
      </c>
      <c r="I350" t="s">
        <v>1462</v>
      </c>
      <c r="J350" t="s">
        <v>1042</v>
      </c>
    </row>
    <row r="351" spans="1:10">
      <c r="A351" t="s">
        <v>1435</v>
      </c>
      <c r="B351" t="s">
        <v>1463</v>
      </c>
      <c r="C351" s="2" t="s">
        <v>248</v>
      </c>
      <c r="E351">
        <v>42270.131999999998</v>
      </c>
      <c r="G351">
        <v>6.0000000000000001E-3</v>
      </c>
      <c r="I351" t="s">
        <v>1464</v>
      </c>
      <c r="J351" t="s">
        <v>1097</v>
      </c>
    </row>
    <row r="352" spans="1:10">
      <c r="A352" t="s">
        <v>1435</v>
      </c>
      <c r="B352" t="s">
        <v>1463</v>
      </c>
      <c r="C352" s="2" t="s">
        <v>250</v>
      </c>
      <c r="E352">
        <v>42338.021999999997</v>
      </c>
      <c r="G352">
        <v>6.0000000000000001E-3</v>
      </c>
      <c r="I352" t="s">
        <v>1465</v>
      </c>
      <c r="J352" t="s">
        <v>1097</v>
      </c>
    </row>
    <row r="353" spans="1:10">
      <c r="A353" t="s">
        <v>1435</v>
      </c>
      <c r="B353" t="s">
        <v>1463</v>
      </c>
      <c r="C353" s="2" t="s">
        <v>249</v>
      </c>
      <c r="E353">
        <v>42386.932999999997</v>
      </c>
      <c r="G353">
        <v>6.0000000000000001E-3</v>
      </c>
      <c r="I353" t="s">
        <v>1466</v>
      </c>
      <c r="J353" t="s">
        <v>1097</v>
      </c>
    </row>
    <row r="354" spans="1:10">
      <c r="A354" t="s">
        <v>1435</v>
      </c>
      <c r="B354" t="s">
        <v>1463</v>
      </c>
      <c r="C354" s="2" t="s">
        <v>251</v>
      </c>
      <c r="E354">
        <v>42446.531000000003</v>
      </c>
      <c r="G354">
        <v>1.6E-2</v>
      </c>
      <c r="I354" t="s">
        <v>1467</v>
      </c>
      <c r="J354" t="s">
        <v>1097</v>
      </c>
    </row>
    <row r="355" spans="1:10">
      <c r="A355" t="s">
        <v>1435</v>
      </c>
      <c r="B355" t="s">
        <v>1463</v>
      </c>
      <c r="C355" s="2" t="s">
        <v>252</v>
      </c>
      <c r="E355">
        <v>42553.762000000002</v>
      </c>
      <c r="G355">
        <v>5.0000000000000001E-3</v>
      </c>
      <c r="H355">
        <v>1.61</v>
      </c>
      <c r="I355" t="s">
        <v>1468</v>
      </c>
      <c r="J355" t="s">
        <v>1042</v>
      </c>
    </row>
    <row r="356" spans="1:10">
      <c r="A356" t="s">
        <v>1431</v>
      </c>
      <c r="B356" t="s">
        <v>1469</v>
      </c>
      <c r="C356" s="2" t="s">
        <v>250</v>
      </c>
      <c r="E356">
        <v>42318.466</v>
      </c>
      <c r="G356">
        <v>4.0000000000000001E-3</v>
      </c>
      <c r="H356">
        <v>1.34</v>
      </c>
      <c r="I356" t="s">
        <v>1470</v>
      </c>
      <c r="J356" t="s">
        <v>1042</v>
      </c>
    </row>
    <row r="357" spans="1:10">
      <c r="A357" t="s">
        <v>1431</v>
      </c>
      <c r="B357" t="s">
        <v>1469</v>
      </c>
      <c r="C357" s="2" t="s">
        <v>248</v>
      </c>
      <c r="E357">
        <v>42480.614999999998</v>
      </c>
      <c r="G357">
        <v>5.0000000000000001E-3</v>
      </c>
      <c r="H357">
        <v>1.1399999999999999</v>
      </c>
      <c r="I357" t="s">
        <v>1471</v>
      </c>
      <c r="J357" t="s">
        <v>1042</v>
      </c>
    </row>
    <row r="358" spans="1:10">
      <c r="A358" t="s">
        <v>1178</v>
      </c>
      <c r="B358" t="s">
        <v>1472</v>
      </c>
      <c r="C358" s="2" t="s">
        <v>248</v>
      </c>
      <c r="E358">
        <v>42362.072</v>
      </c>
      <c r="G358">
        <v>4.0000000000000001E-3</v>
      </c>
      <c r="H358" t="s">
        <v>1473</v>
      </c>
      <c r="I358" t="s">
        <v>1474</v>
      </c>
      <c r="J358" t="s">
        <v>1042</v>
      </c>
    </row>
    <row r="359" spans="1:10">
      <c r="A359" t="s">
        <v>1452</v>
      </c>
      <c r="B359" t="s">
        <v>1475</v>
      </c>
      <c r="C359" s="2" t="s">
        <v>250</v>
      </c>
      <c r="E359">
        <v>42404.288999999997</v>
      </c>
      <c r="G359">
        <v>5.0000000000000001E-3</v>
      </c>
      <c r="I359" t="s">
        <v>1476</v>
      </c>
      <c r="J359" t="s">
        <v>1097</v>
      </c>
    </row>
    <row r="360" spans="1:10">
      <c r="A360" t="s">
        <v>1452</v>
      </c>
      <c r="B360" t="s">
        <v>1475</v>
      </c>
      <c r="C360" s="2" t="s">
        <v>248</v>
      </c>
      <c r="E360">
        <v>42442.521000000001</v>
      </c>
      <c r="G360">
        <v>5.0000000000000001E-3</v>
      </c>
      <c r="I360" t="s">
        <v>1477</v>
      </c>
      <c r="J360" t="s">
        <v>1097</v>
      </c>
    </row>
    <row r="361" spans="1:10">
      <c r="A361" t="s">
        <v>1452</v>
      </c>
      <c r="B361" t="s">
        <v>1475</v>
      </c>
      <c r="C361" s="2" t="s">
        <v>249</v>
      </c>
      <c r="E361">
        <v>42480.002</v>
      </c>
      <c r="G361">
        <v>3.0000000000000001E-3</v>
      </c>
      <c r="I361" t="s">
        <v>1478</v>
      </c>
      <c r="J361" t="s">
        <v>1097</v>
      </c>
    </row>
    <row r="362" spans="1:10">
      <c r="A362" t="s">
        <v>1452</v>
      </c>
      <c r="B362" t="s">
        <v>1475</v>
      </c>
      <c r="C362" s="2" t="s">
        <v>251</v>
      </c>
      <c r="E362">
        <v>42587.040999999997</v>
      </c>
      <c r="G362">
        <v>2E-3</v>
      </c>
      <c r="I362" t="s">
        <v>1479</v>
      </c>
      <c r="J362" t="s">
        <v>1097</v>
      </c>
    </row>
    <row r="363" spans="1:10">
      <c r="A363" t="s">
        <v>1452</v>
      </c>
      <c r="B363" t="s">
        <v>1475</v>
      </c>
      <c r="C363" s="2" t="s">
        <v>252</v>
      </c>
      <c r="E363">
        <v>42724.909</v>
      </c>
      <c r="G363">
        <v>2E-3</v>
      </c>
      <c r="I363" t="s">
        <v>1480</v>
      </c>
      <c r="J363" t="s">
        <v>1097</v>
      </c>
    </row>
    <row r="364" spans="1:10">
      <c r="A364" t="s">
        <v>1452</v>
      </c>
      <c r="B364" t="s">
        <v>1481</v>
      </c>
      <c r="C364" s="2" t="s">
        <v>250</v>
      </c>
      <c r="E364">
        <v>42495.741999999998</v>
      </c>
      <c r="G364">
        <v>4.0000000000000001E-3</v>
      </c>
      <c r="I364" t="s">
        <v>1482</v>
      </c>
      <c r="J364" t="s">
        <v>1097</v>
      </c>
    </row>
    <row r="365" spans="1:10">
      <c r="A365" t="s">
        <v>1452</v>
      </c>
      <c r="B365" t="s">
        <v>1481</v>
      </c>
      <c r="C365" s="2" t="s">
        <v>249</v>
      </c>
      <c r="E365">
        <v>42577.351000000002</v>
      </c>
      <c r="G365">
        <v>5.0000000000000001E-3</v>
      </c>
      <c r="I365" t="s">
        <v>1483</v>
      </c>
      <c r="J365" t="s">
        <v>1097</v>
      </c>
    </row>
    <row r="366" spans="1:10">
      <c r="A366" t="s">
        <v>1452</v>
      </c>
      <c r="B366" t="s">
        <v>1481</v>
      </c>
      <c r="C366" s="2" t="s">
        <v>251</v>
      </c>
      <c r="E366">
        <v>42680.398999999998</v>
      </c>
      <c r="G366">
        <v>2E-3</v>
      </c>
      <c r="I366" t="s">
        <v>1484</v>
      </c>
      <c r="J366" t="s">
        <v>1097</v>
      </c>
    </row>
    <row r="367" spans="1:10">
      <c r="A367" t="s">
        <v>1422</v>
      </c>
      <c r="B367" t="s">
        <v>1485</v>
      </c>
      <c r="C367" s="2" t="s">
        <v>250</v>
      </c>
      <c r="E367">
        <v>42969.135999999999</v>
      </c>
      <c r="G367">
        <v>6.0000000000000001E-3</v>
      </c>
      <c r="H367">
        <v>1.94</v>
      </c>
      <c r="I367" t="s">
        <v>1486</v>
      </c>
      <c r="J367" t="s">
        <v>1042</v>
      </c>
    </row>
    <row r="368" spans="1:10">
      <c r="A368" t="s">
        <v>1452</v>
      </c>
      <c r="B368" t="s">
        <v>1487</v>
      </c>
      <c r="C368" s="2" t="s">
        <v>250</v>
      </c>
      <c r="E368">
        <v>42981.696000000004</v>
      </c>
      <c r="G368">
        <v>3.0000000000000001E-3</v>
      </c>
      <c r="I368" t="s">
        <v>1488</v>
      </c>
      <c r="J368" t="s">
        <v>1097</v>
      </c>
    </row>
    <row r="369" spans="1:10">
      <c r="A369" t="s">
        <v>1452</v>
      </c>
      <c r="B369" t="s">
        <v>1487</v>
      </c>
      <c r="C369" s="2" t="s">
        <v>249</v>
      </c>
      <c r="E369">
        <v>43051.576999999997</v>
      </c>
      <c r="G369">
        <v>2E-3</v>
      </c>
      <c r="I369" t="s">
        <v>1488</v>
      </c>
      <c r="J369" t="s">
        <v>1097</v>
      </c>
    </row>
    <row r="370" spans="1:10">
      <c r="A370" t="s">
        <v>1452</v>
      </c>
      <c r="B370" t="s">
        <v>1487</v>
      </c>
      <c r="C370" s="2" t="s">
        <v>251</v>
      </c>
      <c r="E370">
        <v>43147.305999999997</v>
      </c>
      <c r="G370">
        <v>3.0000000000000001E-3</v>
      </c>
      <c r="I370" t="s">
        <v>1488</v>
      </c>
      <c r="J370" t="s">
        <v>1097</v>
      </c>
    </row>
    <row r="371" spans="1:10">
      <c r="A371" t="s">
        <v>1452</v>
      </c>
      <c r="B371" t="s">
        <v>1487</v>
      </c>
      <c r="C371" s="2" t="s">
        <v>252</v>
      </c>
      <c r="E371">
        <v>43266.336000000003</v>
      </c>
      <c r="G371">
        <v>2E-3</v>
      </c>
      <c r="I371" t="s">
        <v>1489</v>
      </c>
      <c r="J371" t="s">
        <v>1097</v>
      </c>
    </row>
    <row r="372" spans="1:10">
      <c r="A372" t="s">
        <v>1452</v>
      </c>
      <c r="B372" t="s">
        <v>1490</v>
      </c>
      <c r="C372" s="2" t="s">
        <v>248</v>
      </c>
      <c r="E372">
        <v>43249.527000000002</v>
      </c>
      <c r="G372">
        <v>3.0000000000000001E-3</v>
      </c>
      <c r="I372" t="s">
        <v>1491</v>
      </c>
      <c r="J372" t="s">
        <v>1097</v>
      </c>
    </row>
    <row r="373" spans="1:10">
      <c r="A373" t="s">
        <v>1452</v>
      </c>
      <c r="B373" t="s">
        <v>1490</v>
      </c>
      <c r="C373" s="2" t="s">
        <v>250</v>
      </c>
      <c r="E373">
        <v>43309.080999999998</v>
      </c>
      <c r="G373">
        <v>2E-3</v>
      </c>
      <c r="I373" t="s">
        <v>1492</v>
      </c>
      <c r="J373" t="s">
        <v>1097</v>
      </c>
    </row>
    <row r="374" spans="1:10">
      <c r="A374" t="s">
        <v>1452</v>
      </c>
      <c r="B374" t="s">
        <v>1490</v>
      </c>
      <c r="C374" s="2" t="s">
        <v>249</v>
      </c>
      <c r="E374">
        <v>43410.983</v>
      </c>
      <c r="G374">
        <v>2E-3</v>
      </c>
      <c r="I374" t="s">
        <v>1493</v>
      </c>
      <c r="J374" t="s">
        <v>1097</v>
      </c>
    </row>
    <row r="375" spans="1:10">
      <c r="A375" t="s">
        <v>1452</v>
      </c>
      <c r="B375" t="s">
        <v>1490</v>
      </c>
      <c r="C375" s="2" t="s">
        <v>251</v>
      </c>
      <c r="E375">
        <v>43555.330999999998</v>
      </c>
      <c r="G375">
        <v>2E-3</v>
      </c>
      <c r="H375">
        <v>1.46</v>
      </c>
      <c r="I375" t="s">
        <v>1494</v>
      </c>
      <c r="J375" t="s">
        <v>1042</v>
      </c>
    </row>
    <row r="376" spans="1:10">
      <c r="A376" t="s">
        <v>1495</v>
      </c>
      <c r="B376" t="s">
        <v>1496</v>
      </c>
      <c r="C376" s="2" t="s">
        <v>250</v>
      </c>
      <c r="E376">
        <v>43331.784</v>
      </c>
      <c r="F376" t="s">
        <v>1155</v>
      </c>
      <c r="G376">
        <v>2E-3</v>
      </c>
      <c r="I376" t="s">
        <v>1497</v>
      </c>
      <c r="J376" t="s">
        <v>1097</v>
      </c>
    </row>
    <row r="377" spans="1:10">
      <c r="A377" t="s">
        <v>1495</v>
      </c>
      <c r="B377" t="s">
        <v>1496</v>
      </c>
      <c r="C377" s="2" t="s">
        <v>249</v>
      </c>
      <c r="E377">
        <v>43393.955000000002</v>
      </c>
      <c r="G377">
        <v>2E-3</v>
      </c>
      <c r="I377" t="s">
        <v>1497</v>
      </c>
      <c r="J377" t="s">
        <v>1097</v>
      </c>
    </row>
    <row r="378" spans="1:10">
      <c r="A378" t="s">
        <v>1495</v>
      </c>
      <c r="B378" t="s">
        <v>1496</v>
      </c>
      <c r="C378" s="2" t="s">
        <v>251</v>
      </c>
      <c r="E378">
        <v>43483.425999999999</v>
      </c>
      <c r="G378">
        <v>2E-3</v>
      </c>
      <c r="I378" t="s">
        <v>1498</v>
      </c>
      <c r="J378" t="s">
        <v>1097</v>
      </c>
    </row>
    <row r="379" spans="1:10">
      <c r="A379" t="s">
        <v>1495</v>
      </c>
      <c r="B379" t="s">
        <v>1496</v>
      </c>
      <c r="C379" s="2" t="s">
        <v>252</v>
      </c>
      <c r="E379">
        <v>43598.53</v>
      </c>
      <c r="G379">
        <v>2E-3</v>
      </c>
      <c r="I379" t="s">
        <v>1498</v>
      </c>
      <c r="J379" t="s">
        <v>1097</v>
      </c>
    </row>
    <row r="380" spans="1:10">
      <c r="A380" t="s">
        <v>1495</v>
      </c>
      <c r="B380" t="s">
        <v>1496</v>
      </c>
      <c r="C380" s="2" t="s">
        <v>1702</v>
      </c>
      <c r="E380">
        <v>43739.743000000002</v>
      </c>
      <c r="G380">
        <v>2E-3</v>
      </c>
      <c r="I380" t="s">
        <v>1497</v>
      </c>
      <c r="J380" t="s">
        <v>1097</v>
      </c>
    </row>
    <row r="381" spans="1:10">
      <c r="A381" t="s">
        <v>1495</v>
      </c>
      <c r="B381" t="s">
        <v>1496</v>
      </c>
      <c r="C381" s="2" t="s">
        <v>720</v>
      </c>
      <c r="E381">
        <v>43906.771999999997</v>
      </c>
      <c r="G381">
        <v>2E-3</v>
      </c>
      <c r="I381">
        <v>100</v>
      </c>
      <c r="J381" t="s">
        <v>1097</v>
      </c>
    </row>
    <row r="382" spans="1:10">
      <c r="A382" t="s">
        <v>1452</v>
      </c>
      <c r="B382" t="s">
        <v>1499</v>
      </c>
      <c r="C382" s="2" t="s">
        <v>248</v>
      </c>
      <c r="E382">
        <v>43443.561999999998</v>
      </c>
      <c r="G382">
        <v>5.0000000000000001E-3</v>
      </c>
      <c r="I382" t="s">
        <v>1500</v>
      </c>
      <c r="J382" t="s">
        <v>1097</v>
      </c>
    </row>
    <row r="383" spans="1:10">
      <c r="A383" t="s">
        <v>1452</v>
      </c>
      <c r="B383" t="s">
        <v>1499</v>
      </c>
      <c r="C383" s="2" t="s">
        <v>250</v>
      </c>
      <c r="E383">
        <v>43504.252</v>
      </c>
      <c r="F383" t="s">
        <v>1155</v>
      </c>
      <c r="G383">
        <v>2E-3</v>
      </c>
      <c r="I383" t="s">
        <v>1500</v>
      </c>
      <c r="J383" t="s">
        <v>1097</v>
      </c>
    </row>
    <row r="384" spans="1:10">
      <c r="A384" t="s">
        <v>1452</v>
      </c>
      <c r="B384" t="s">
        <v>1499</v>
      </c>
      <c r="C384" s="2" t="s">
        <v>249</v>
      </c>
      <c r="E384">
        <v>43585.786</v>
      </c>
      <c r="G384">
        <v>2E-3</v>
      </c>
      <c r="I384" t="s">
        <v>1501</v>
      </c>
      <c r="J384" t="s">
        <v>1097</v>
      </c>
    </row>
    <row r="385" spans="1:10">
      <c r="A385" t="s">
        <v>1502</v>
      </c>
      <c r="B385" t="s">
        <v>231</v>
      </c>
      <c r="C385" s="2" t="s">
        <v>248</v>
      </c>
      <c r="E385">
        <v>43529.133999999998</v>
      </c>
      <c r="G385">
        <v>3.0000000000000001E-3</v>
      </c>
      <c r="I385" t="s">
        <v>1503</v>
      </c>
      <c r="J385" t="s">
        <v>1097</v>
      </c>
    </row>
    <row r="386" spans="1:10">
      <c r="A386" t="s">
        <v>1502</v>
      </c>
      <c r="B386" t="s">
        <v>231</v>
      </c>
      <c r="C386" s="2" t="s">
        <v>250</v>
      </c>
      <c r="E386">
        <v>43683.396999999997</v>
      </c>
      <c r="F386" t="s">
        <v>1155</v>
      </c>
      <c r="G386">
        <v>1.9E-2</v>
      </c>
      <c r="I386" t="s">
        <v>1504</v>
      </c>
      <c r="J386" t="s">
        <v>1097</v>
      </c>
    </row>
    <row r="387" spans="1:10">
      <c r="A387" t="s">
        <v>1502</v>
      </c>
      <c r="B387" t="s">
        <v>231</v>
      </c>
      <c r="C387" s="2" t="s">
        <v>249</v>
      </c>
      <c r="E387">
        <v>43770.21</v>
      </c>
      <c r="G387">
        <v>0.01</v>
      </c>
      <c r="I387" t="s">
        <v>1505</v>
      </c>
      <c r="J387" t="s">
        <v>1097</v>
      </c>
    </row>
    <row r="388" spans="1:10">
      <c r="A388" t="s">
        <v>1502</v>
      </c>
      <c r="B388" t="s">
        <v>231</v>
      </c>
      <c r="C388" s="2" t="s">
        <v>251</v>
      </c>
      <c r="E388">
        <v>43867.925999999999</v>
      </c>
      <c r="G388">
        <v>1.7000000000000001E-2</v>
      </c>
      <c r="I388" t="s">
        <v>1506</v>
      </c>
      <c r="J388" t="s">
        <v>1097</v>
      </c>
    </row>
    <row r="389" spans="1:10">
      <c r="A389" t="s">
        <v>1495</v>
      </c>
      <c r="B389" t="s">
        <v>1453</v>
      </c>
      <c r="C389" s="2" t="s">
        <v>248</v>
      </c>
      <c r="E389">
        <v>43637.752</v>
      </c>
      <c r="G389">
        <v>2E-3</v>
      </c>
      <c r="I389" t="s">
        <v>1507</v>
      </c>
      <c r="J389" t="s">
        <v>1097</v>
      </c>
    </row>
    <row r="390" spans="1:10">
      <c r="A390" t="s">
        <v>1495</v>
      </c>
      <c r="B390" t="s">
        <v>1453</v>
      </c>
      <c r="C390" s="2" t="s">
        <v>250</v>
      </c>
      <c r="E390">
        <v>43674.286999999997</v>
      </c>
      <c r="G390">
        <v>2E-3</v>
      </c>
      <c r="I390" t="s">
        <v>1508</v>
      </c>
      <c r="J390" t="s">
        <v>1097</v>
      </c>
    </row>
    <row r="391" spans="1:10">
      <c r="A391" t="s">
        <v>1495</v>
      </c>
      <c r="B391" t="s">
        <v>1453</v>
      </c>
      <c r="C391" s="2" t="s">
        <v>249</v>
      </c>
      <c r="E391">
        <v>43744.445</v>
      </c>
      <c r="G391">
        <v>2E-3</v>
      </c>
      <c r="I391" t="s">
        <v>1509</v>
      </c>
      <c r="J391" t="s">
        <v>1097</v>
      </c>
    </row>
    <row r="392" spans="1:10">
      <c r="A392" t="s">
        <v>1495</v>
      </c>
      <c r="B392" t="s">
        <v>1453</v>
      </c>
      <c r="C392" s="2" t="s">
        <v>251</v>
      </c>
      <c r="E392">
        <v>43849.241999999998</v>
      </c>
      <c r="G392">
        <v>2E-3</v>
      </c>
      <c r="I392" t="s">
        <v>1510</v>
      </c>
      <c r="J392" t="s">
        <v>1097</v>
      </c>
    </row>
    <row r="393" spans="1:10">
      <c r="A393" t="s">
        <v>1495</v>
      </c>
      <c r="B393" t="s">
        <v>1453</v>
      </c>
      <c r="C393" s="2" t="s">
        <v>252</v>
      </c>
      <c r="E393">
        <v>43988.36</v>
      </c>
      <c r="G393">
        <v>2E-3</v>
      </c>
      <c r="I393" t="s">
        <v>1511</v>
      </c>
      <c r="J393" t="s">
        <v>1097</v>
      </c>
    </row>
    <row r="394" spans="1:10">
      <c r="A394" t="s">
        <v>1495</v>
      </c>
      <c r="B394" t="s">
        <v>1453</v>
      </c>
      <c r="C394" s="2" t="s">
        <v>1702</v>
      </c>
      <c r="E394">
        <v>44164.337</v>
      </c>
      <c r="G394">
        <v>2E-3</v>
      </c>
      <c r="I394" t="s">
        <v>1512</v>
      </c>
      <c r="J394" t="s">
        <v>1097</v>
      </c>
    </row>
    <row r="395" spans="1:10">
      <c r="A395" t="s">
        <v>1502</v>
      </c>
      <c r="B395" t="s">
        <v>1513</v>
      </c>
      <c r="C395" s="2" t="s">
        <v>249</v>
      </c>
      <c r="E395">
        <v>43649.336000000003</v>
      </c>
      <c r="G395">
        <v>4.0000000000000001E-3</v>
      </c>
      <c r="H395">
        <v>0.38</v>
      </c>
      <c r="I395" t="s">
        <v>1514</v>
      </c>
      <c r="J395" t="s">
        <v>1042</v>
      </c>
    </row>
    <row r="396" spans="1:10">
      <c r="A396" t="s">
        <v>1502</v>
      </c>
      <c r="B396" t="s">
        <v>1513</v>
      </c>
      <c r="C396" s="2" t="s">
        <v>251</v>
      </c>
      <c r="E396">
        <v>43706.874000000003</v>
      </c>
      <c r="G396">
        <v>7.0000000000000001E-3</v>
      </c>
      <c r="H396">
        <v>0.88</v>
      </c>
      <c r="I396" t="s">
        <v>1515</v>
      </c>
      <c r="J396" t="s">
        <v>1042</v>
      </c>
    </row>
    <row r="397" spans="1:10">
      <c r="A397" t="s">
        <v>1502</v>
      </c>
      <c r="B397" t="s">
        <v>1513</v>
      </c>
      <c r="C397" s="2" t="s">
        <v>252</v>
      </c>
      <c r="E397">
        <v>43787.603999999999</v>
      </c>
      <c r="G397">
        <v>3.0000000000000001E-3</v>
      </c>
      <c r="H397">
        <v>1.1100000000000001</v>
      </c>
      <c r="I397" t="s">
        <v>1516</v>
      </c>
      <c r="J397" t="s">
        <v>1042</v>
      </c>
    </row>
    <row r="398" spans="1:10">
      <c r="A398" t="s">
        <v>1502</v>
      </c>
      <c r="B398" t="s">
        <v>1513</v>
      </c>
      <c r="C398" s="2" t="s">
        <v>1702</v>
      </c>
      <c r="E398">
        <v>43894.148999999998</v>
      </c>
      <c r="G398">
        <v>5.0000000000000001E-3</v>
      </c>
      <c r="H398">
        <v>1.18</v>
      </c>
      <c r="I398" t="s">
        <v>1516</v>
      </c>
      <c r="J398" t="s">
        <v>1042</v>
      </c>
    </row>
    <row r="399" spans="1:10">
      <c r="A399" t="s">
        <v>1502</v>
      </c>
      <c r="B399" t="s">
        <v>1513</v>
      </c>
      <c r="C399" s="2" t="s">
        <v>720</v>
      </c>
      <c r="E399">
        <v>44028.264000000003</v>
      </c>
      <c r="G399">
        <v>4.0000000000000001E-3</v>
      </c>
      <c r="H399">
        <v>1.3</v>
      </c>
      <c r="I399" t="s">
        <v>1515</v>
      </c>
      <c r="J399" t="s">
        <v>1042</v>
      </c>
    </row>
    <row r="400" spans="1:10">
      <c r="A400" t="s">
        <v>1502</v>
      </c>
      <c r="B400" t="s">
        <v>1513</v>
      </c>
      <c r="C400" s="2" t="s">
        <v>1322</v>
      </c>
      <c r="E400">
        <v>44189.953999999998</v>
      </c>
      <c r="G400">
        <v>3.0000000000000001E-3</v>
      </c>
      <c r="H400">
        <v>1.38</v>
      </c>
      <c r="I400" t="s">
        <v>1517</v>
      </c>
      <c r="J400" t="s">
        <v>1042</v>
      </c>
    </row>
    <row r="401" spans="1:10">
      <c r="A401" t="s">
        <v>1495</v>
      </c>
      <c r="B401" t="s">
        <v>1475</v>
      </c>
      <c r="C401" s="2" t="s">
        <v>248</v>
      </c>
      <c r="E401">
        <v>43708.411</v>
      </c>
      <c r="G401">
        <v>2E-3</v>
      </c>
      <c r="I401" t="s">
        <v>1518</v>
      </c>
      <c r="J401" t="s">
        <v>1097</v>
      </c>
    </row>
    <row r="402" spans="1:10">
      <c r="A402" t="s">
        <v>1495</v>
      </c>
      <c r="B402" t="s">
        <v>1475</v>
      </c>
      <c r="C402" s="2" t="s">
        <v>250</v>
      </c>
      <c r="E402">
        <v>43779.226999999999</v>
      </c>
      <c r="G402">
        <v>2E-3</v>
      </c>
      <c r="I402" t="s">
        <v>1519</v>
      </c>
      <c r="J402" t="s">
        <v>1097</v>
      </c>
    </row>
    <row r="403" spans="1:10">
      <c r="A403" t="s">
        <v>1495</v>
      </c>
      <c r="B403" t="s">
        <v>1475</v>
      </c>
      <c r="C403" s="2" t="s">
        <v>249</v>
      </c>
      <c r="E403">
        <v>43886.616999999998</v>
      </c>
      <c r="G403">
        <v>3.0000000000000001E-3</v>
      </c>
      <c r="I403" t="s">
        <v>1520</v>
      </c>
      <c r="J403" t="s">
        <v>1097</v>
      </c>
    </row>
    <row r="404" spans="1:10">
      <c r="A404" t="s">
        <v>1495</v>
      </c>
      <c r="B404" t="s">
        <v>1475</v>
      </c>
      <c r="C404" s="2" t="s">
        <v>251</v>
      </c>
      <c r="E404">
        <v>44026.567999999999</v>
      </c>
      <c r="G404">
        <v>2E-3</v>
      </c>
      <c r="I404" t="s">
        <v>1521</v>
      </c>
      <c r="J404" t="s">
        <v>1097</v>
      </c>
    </row>
    <row r="405" spans="1:10">
      <c r="A405" t="s">
        <v>1495</v>
      </c>
      <c r="B405" t="s">
        <v>1475</v>
      </c>
      <c r="C405" s="2" t="s">
        <v>252</v>
      </c>
      <c r="E405">
        <v>44202.758999999998</v>
      </c>
      <c r="G405">
        <v>3.0000000000000001E-3</v>
      </c>
      <c r="I405" t="s">
        <v>1522</v>
      </c>
      <c r="J405" t="s">
        <v>1097</v>
      </c>
    </row>
    <row r="406" spans="1:10">
      <c r="A406" t="s">
        <v>1502</v>
      </c>
      <c r="B406" t="s">
        <v>1523</v>
      </c>
      <c r="C406" s="2" t="s">
        <v>250</v>
      </c>
      <c r="E406">
        <v>43731.186999999998</v>
      </c>
      <c r="G406">
        <v>8.9999999999999993E-3</v>
      </c>
      <c r="I406" t="s">
        <v>1524</v>
      </c>
      <c r="J406" t="s">
        <v>1097</v>
      </c>
    </row>
    <row r="407" spans="1:10">
      <c r="A407" t="s">
        <v>1502</v>
      </c>
      <c r="B407" t="s">
        <v>1523</v>
      </c>
      <c r="C407" s="2" t="s">
        <v>249</v>
      </c>
      <c r="E407">
        <v>43881.61</v>
      </c>
      <c r="G407">
        <v>4.0000000000000001E-3</v>
      </c>
      <c r="I407" t="s">
        <v>1525</v>
      </c>
      <c r="J407" t="s">
        <v>1097</v>
      </c>
    </row>
    <row r="408" spans="1:10">
      <c r="A408" t="s">
        <v>1502</v>
      </c>
      <c r="B408" t="s">
        <v>1523</v>
      </c>
      <c r="C408" s="2" t="s">
        <v>251</v>
      </c>
      <c r="E408">
        <v>44083.247000000003</v>
      </c>
      <c r="G408">
        <v>6.0000000000000001E-3</v>
      </c>
      <c r="I408" t="s">
        <v>1526</v>
      </c>
      <c r="J408" t="s">
        <v>1097</v>
      </c>
    </row>
    <row r="409" spans="1:10">
      <c r="A409" t="s">
        <v>1502</v>
      </c>
      <c r="B409" t="s">
        <v>1527</v>
      </c>
      <c r="C409" s="2" t="s">
        <v>250</v>
      </c>
      <c r="E409">
        <v>43817.917000000001</v>
      </c>
      <c r="F409" t="s">
        <v>1155</v>
      </c>
      <c r="G409">
        <v>5.0000000000000001E-3</v>
      </c>
      <c r="H409" t="s">
        <v>1528</v>
      </c>
      <c r="I409" t="s">
        <v>1529</v>
      </c>
      <c r="J409" t="s">
        <v>1042</v>
      </c>
    </row>
    <row r="410" spans="1:10">
      <c r="A410" t="s">
        <v>1502</v>
      </c>
      <c r="B410" t="s">
        <v>1527</v>
      </c>
      <c r="C410" s="2" t="s">
        <v>249</v>
      </c>
      <c r="E410">
        <v>43847.103000000003</v>
      </c>
      <c r="G410">
        <v>6.0000000000000001E-3</v>
      </c>
      <c r="H410">
        <v>0.78</v>
      </c>
      <c r="I410" t="s">
        <v>1530</v>
      </c>
      <c r="J410" t="s">
        <v>1042</v>
      </c>
    </row>
    <row r="411" spans="1:10">
      <c r="A411" t="s">
        <v>1502</v>
      </c>
      <c r="B411" t="s">
        <v>1527</v>
      </c>
      <c r="C411" s="2" t="s">
        <v>251</v>
      </c>
      <c r="E411">
        <v>43911.874000000003</v>
      </c>
      <c r="G411">
        <v>4.0000000000000001E-3</v>
      </c>
      <c r="H411">
        <v>1.1200000000000001</v>
      </c>
      <c r="I411" t="s">
        <v>1531</v>
      </c>
      <c r="J411" t="s">
        <v>1042</v>
      </c>
    </row>
    <row r="412" spans="1:10">
      <c r="A412" t="s">
        <v>1502</v>
      </c>
      <c r="B412" t="s">
        <v>1527</v>
      </c>
      <c r="C412" s="2" t="s">
        <v>252</v>
      </c>
      <c r="E412">
        <v>44005.103999999999</v>
      </c>
      <c r="G412">
        <v>8.0000000000000002E-3</v>
      </c>
      <c r="H412">
        <v>1.26</v>
      </c>
      <c r="I412" t="s">
        <v>1532</v>
      </c>
      <c r="J412" t="s">
        <v>1042</v>
      </c>
    </row>
    <row r="413" spans="1:10">
      <c r="A413" t="s">
        <v>1502</v>
      </c>
      <c r="B413" t="s">
        <v>1527</v>
      </c>
      <c r="C413" s="2" t="s">
        <v>1702</v>
      </c>
      <c r="E413">
        <v>44139.591</v>
      </c>
      <c r="G413">
        <v>4.0000000000000001E-3</v>
      </c>
      <c r="H413">
        <v>1.34</v>
      </c>
      <c r="I413" t="s">
        <v>1533</v>
      </c>
      <c r="J413" t="s">
        <v>1042</v>
      </c>
    </row>
    <row r="414" spans="1:10">
      <c r="A414" t="s">
        <v>1502</v>
      </c>
      <c r="B414" t="s">
        <v>1527</v>
      </c>
      <c r="C414" s="2" t="s">
        <v>720</v>
      </c>
      <c r="E414">
        <v>44327.214</v>
      </c>
      <c r="G414">
        <v>2E-3</v>
      </c>
      <c r="H414">
        <v>1.35</v>
      </c>
      <c r="I414" t="s">
        <v>1534</v>
      </c>
      <c r="J414" t="s">
        <v>1042</v>
      </c>
    </row>
    <row r="415" spans="1:10">
      <c r="A415" t="s">
        <v>1502</v>
      </c>
      <c r="B415" t="s">
        <v>1535</v>
      </c>
      <c r="C415" s="2" t="s">
        <v>248</v>
      </c>
      <c r="E415">
        <v>43849.067000000003</v>
      </c>
      <c r="G415">
        <v>5.0000000000000001E-3</v>
      </c>
      <c r="I415" t="s">
        <v>1536</v>
      </c>
      <c r="J415" t="s">
        <v>1097</v>
      </c>
    </row>
    <row r="416" spans="1:10">
      <c r="A416" t="s">
        <v>1502</v>
      </c>
      <c r="B416" t="s">
        <v>1535</v>
      </c>
      <c r="C416" s="2" t="s">
        <v>250</v>
      </c>
      <c r="E416">
        <v>43913.821000000004</v>
      </c>
      <c r="F416" t="s">
        <v>1155</v>
      </c>
      <c r="G416">
        <v>4.0000000000000001E-3</v>
      </c>
      <c r="I416" t="s">
        <v>1537</v>
      </c>
      <c r="J416" t="s">
        <v>1097</v>
      </c>
    </row>
    <row r="417" spans="1:10">
      <c r="A417" t="s">
        <v>1502</v>
      </c>
      <c r="B417" t="s">
        <v>1535</v>
      </c>
      <c r="C417" s="2" t="s">
        <v>249</v>
      </c>
      <c r="E417">
        <v>43995.152000000002</v>
      </c>
      <c r="G417">
        <v>0.03</v>
      </c>
      <c r="I417" t="s">
        <v>1538</v>
      </c>
      <c r="J417" t="s">
        <v>1097</v>
      </c>
    </row>
    <row r="418" spans="1:10">
      <c r="A418" t="s">
        <v>1502</v>
      </c>
      <c r="B418" t="s">
        <v>1535</v>
      </c>
      <c r="C418" s="2" t="s">
        <v>251</v>
      </c>
      <c r="E418">
        <v>44100.076999999997</v>
      </c>
      <c r="G418">
        <v>3.0000000000000001E-3</v>
      </c>
      <c r="I418" t="s">
        <v>1539</v>
      </c>
      <c r="J418" t="s">
        <v>1097</v>
      </c>
    </row>
    <row r="419" spans="1:10">
      <c r="A419" t="s">
        <v>1502</v>
      </c>
      <c r="B419" t="s">
        <v>1535</v>
      </c>
      <c r="C419" s="2" t="s">
        <v>252</v>
      </c>
      <c r="E419">
        <v>44205.606</v>
      </c>
      <c r="G419">
        <v>4.0000000000000001E-3</v>
      </c>
      <c r="I419" t="s">
        <v>1540</v>
      </c>
      <c r="J419" t="s">
        <v>1097</v>
      </c>
    </row>
    <row r="420" spans="1:10">
      <c r="A420" t="s">
        <v>1502</v>
      </c>
      <c r="B420" t="s">
        <v>1535</v>
      </c>
      <c r="C420" s="2" t="s">
        <v>1702</v>
      </c>
      <c r="E420">
        <v>44326.650999999998</v>
      </c>
      <c r="G420">
        <v>4.0000000000000001E-3</v>
      </c>
      <c r="I420" t="s">
        <v>1541</v>
      </c>
      <c r="J420" t="s">
        <v>1097</v>
      </c>
    </row>
    <row r="421" spans="1:10">
      <c r="A421" t="s">
        <v>1542</v>
      </c>
      <c r="B421" t="s">
        <v>1543</v>
      </c>
      <c r="C421" s="2" t="s">
        <v>251</v>
      </c>
      <c r="E421">
        <v>43873.743999999999</v>
      </c>
      <c r="G421">
        <v>5.0000000000000001E-3</v>
      </c>
      <c r="H421" t="s">
        <v>1544</v>
      </c>
      <c r="I421" t="s">
        <v>1545</v>
      </c>
      <c r="J421" t="s">
        <v>1042</v>
      </c>
    </row>
    <row r="422" spans="1:10">
      <c r="A422" t="s">
        <v>1542</v>
      </c>
      <c r="B422" t="s">
        <v>1543</v>
      </c>
      <c r="C422" s="2" t="s">
        <v>249</v>
      </c>
      <c r="E422">
        <v>43875.328999999998</v>
      </c>
      <c r="G422">
        <v>2E-3</v>
      </c>
      <c r="H422">
        <v>0.86</v>
      </c>
      <c r="I422" t="s">
        <v>1546</v>
      </c>
      <c r="J422" t="s">
        <v>1042</v>
      </c>
    </row>
    <row r="423" spans="1:10">
      <c r="A423" t="s">
        <v>1502</v>
      </c>
      <c r="B423" t="s">
        <v>716</v>
      </c>
      <c r="C423" s="2" t="s">
        <v>251</v>
      </c>
      <c r="E423">
        <v>43891.233</v>
      </c>
      <c r="G423">
        <v>7.0000000000000001E-3</v>
      </c>
      <c r="I423" t="s">
        <v>1547</v>
      </c>
      <c r="J423" t="s">
        <v>1097</v>
      </c>
    </row>
    <row r="424" spans="1:10">
      <c r="A424" t="s">
        <v>1502</v>
      </c>
      <c r="B424" t="s">
        <v>716</v>
      </c>
      <c r="C424" s="2" t="s">
        <v>252</v>
      </c>
      <c r="E424">
        <v>44028.51</v>
      </c>
      <c r="G424">
        <v>3.0000000000000001E-3</v>
      </c>
      <c r="I424" t="s">
        <v>1548</v>
      </c>
      <c r="J424" t="s">
        <v>1097</v>
      </c>
    </row>
    <row r="425" spans="1:10">
      <c r="A425" t="s">
        <v>1502</v>
      </c>
      <c r="B425" t="s">
        <v>716</v>
      </c>
      <c r="C425" s="2" t="s">
        <v>1702</v>
      </c>
      <c r="E425">
        <v>44193.427000000003</v>
      </c>
      <c r="G425">
        <v>2E-3</v>
      </c>
      <c r="I425" t="s">
        <v>1548</v>
      </c>
      <c r="J425" t="s">
        <v>1097</v>
      </c>
    </row>
    <row r="426" spans="1:10">
      <c r="A426" t="s">
        <v>1502</v>
      </c>
      <c r="B426" t="s">
        <v>716</v>
      </c>
      <c r="C426" s="2" t="s">
        <v>720</v>
      </c>
      <c r="E426">
        <v>44392.553999999996</v>
      </c>
      <c r="G426">
        <v>4.0000000000000001E-3</v>
      </c>
      <c r="I426" t="s">
        <v>1549</v>
      </c>
      <c r="J426" t="s">
        <v>1097</v>
      </c>
    </row>
    <row r="427" spans="1:10">
      <c r="A427" t="s">
        <v>1502</v>
      </c>
      <c r="B427" t="s">
        <v>586</v>
      </c>
      <c r="C427" s="2" t="s">
        <v>248</v>
      </c>
      <c r="E427">
        <v>43907.885999999999</v>
      </c>
      <c r="G427">
        <v>7.0000000000000001E-3</v>
      </c>
      <c r="I427" t="s">
        <v>1550</v>
      </c>
      <c r="J427" t="s">
        <v>1097</v>
      </c>
    </row>
    <row r="428" spans="1:10">
      <c r="A428" t="s">
        <v>1502</v>
      </c>
      <c r="B428" t="s">
        <v>586</v>
      </c>
      <c r="C428" s="2" t="s">
        <v>250</v>
      </c>
      <c r="E428">
        <v>44085.444000000003</v>
      </c>
      <c r="G428">
        <v>2E-3</v>
      </c>
      <c r="I428" t="s">
        <v>1551</v>
      </c>
      <c r="J428" t="s">
        <v>1097</v>
      </c>
    </row>
    <row r="429" spans="1:10">
      <c r="A429" t="s">
        <v>1502</v>
      </c>
      <c r="B429" t="s">
        <v>586</v>
      </c>
      <c r="C429" s="2" t="s">
        <v>249</v>
      </c>
      <c r="E429">
        <v>44289.474999999999</v>
      </c>
      <c r="G429">
        <v>3.0000000000000001E-3</v>
      </c>
      <c r="I429" t="s">
        <v>1552</v>
      </c>
      <c r="J429" t="s">
        <v>1097</v>
      </c>
    </row>
    <row r="430" spans="1:10">
      <c r="A430" t="s">
        <v>1553</v>
      </c>
      <c r="B430" t="s">
        <v>1554</v>
      </c>
      <c r="C430" s="2" t="s">
        <v>249</v>
      </c>
      <c r="E430">
        <v>43918.572999999997</v>
      </c>
      <c r="G430">
        <v>3.0000000000000001E-3</v>
      </c>
      <c r="H430">
        <v>0.89</v>
      </c>
      <c r="I430" t="s">
        <v>1555</v>
      </c>
      <c r="J430" t="s">
        <v>1042</v>
      </c>
    </row>
    <row r="431" spans="1:10">
      <c r="A431" t="s">
        <v>1553</v>
      </c>
      <c r="B431" t="s">
        <v>1554</v>
      </c>
      <c r="C431" s="2" t="s">
        <v>251</v>
      </c>
      <c r="E431">
        <v>44065.98</v>
      </c>
      <c r="G431">
        <v>3.0000000000000001E-3</v>
      </c>
      <c r="H431">
        <v>1.18</v>
      </c>
      <c r="I431" t="s">
        <v>1556</v>
      </c>
      <c r="J431" t="s">
        <v>1042</v>
      </c>
    </row>
    <row r="432" spans="1:10">
      <c r="A432" t="s">
        <v>1431</v>
      </c>
      <c r="B432" t="s">
        <v>214</v>
      </c>
      <c r="C432" s="2" t="s">
        <v>250</v>
      </c>
      <c r="E432">
        <v>43999.760999999999</v>
      </c>
      <c r="G432">
        <v>3.0000000000000001E-3</v>
      </c>
      <c r="I432" t="s">
        <v>1557</v>
      </c>
      <c r="J432" t="s">
        <v>1097</v>
      </c>
    </row>
    <row r="433" spans="1:10">
      <c r="A433" t="s">
        <v>1431</v>
      </c>
      <c r="B433" t="s">
        <v>214</v>
      </c>
      <c r="C433" s="2" t="s">
        <v>249</v>
      </c>
      <c r="E433">
        <v>44043.387999999999</v>
      </c>
      <c r="G433">
        <v>2E-3</v>
      </c>
      <c r="I433" t="s">
        <v>1558</v>
      </c>
      <c r="J433" t="s">
        <v>1097</v>
      </c>
    </row>
    <row r="434" spans="1:10">
      <c r="A434" t="s">
        <v>1431</v>
      </c>
      <c r="B434" t="s">
        <v>214</v>
      </c>
      <c r="C434" s="2" t="s">
        <v>251</v>
      </c>
      <c r="E434">
        <v>44104.561999999998</v>
      </c>
      <c r="G434">
        <v>2E-3</v>
      </c>
      <c r="I434" t="s">
        <v>1559</v>
      </c>
      <c r="J434" t="s">
        <v>1097</v>
      </c>
    </row>
    <row r="435" spans="1:10">
      <c r="A435" t="s">
        <v>1431</v>
      </c>
      <c r="B435" t="s">
        <v>214</v>
      </c>
      <c r="C435" s="2" t="s">
        <v>252</v>
      </c>
      <c r="E435">
        <v>44178.536999999997</v>
      </c>
      <c r="G435">
        <v>5.0000000000000001E-3</v>
      </c>
      <c r="I435" t="s">
        <v>1560</v>
      </c>
      <c r="J435" t="s">
        <v>1097</v>
      </c>
    </row>
    <row r="436" spans="1:10">
      <c r="A436" t="s">
        <v>1542</v>
      </c>
      <c r="B436" t="s">
        <v>1561</v>
      </c>
      <c r="C436" s="2" t="s">
        <v>252</v>
      </c>
      <c r="E436">
        <v>44145.718000000001</v>
      </c>
      <c r="G436">
        <v>4.0000000000000001E-3</v>
      </c>
      <c r="H436">
        <v>0.9</v>
      </c>
      <c r="I436" t="s">
        <v>1562</v>
      </c>
      <c r="J436" t="s">
        <v>1042</v>
      </c>
    </row>
    <row r="437" spans="1:10">
      <c r="A437" t="s">
        <v>1542</v>
      </c>
      <c r="B437" t="s">
        <v>1561</v>
      </c>
      <c r="C437" s="2" t="s">
        <v>1702</v>
      </c>
      <c r="E437">
        <v>44184.110999999997</v>
      </c>
      <c r="G437">
        <v>5.0000000000000001E-3</v>
      </c>
      <c r="H437" t="s">
        <v>1563</v>
      </c>
      <c r="I437" t="s">
        <v>1564</v>
      </c>
      <c r="J437" t="s">
        <v>1042</v>
      </c>
    </row>
    <row r="438" spans="1:10">
      <c r="A438" t="s">
        <v>1502</v>
      </c>
      <c r="B438" t="s">
        <v>576</v>
      </c>
      <c r="C438" s="2" t="s">
        <v>249</v>
      </c>
      <c r="E438">
        <v>44195.39</v>
      </c>
      <c r="G438">
        <v>2E-3</v>
      </c>
      <c r="I438" t="s">
        <v>1565</v>
      </c>
      <c r="J438" t="s">
        <v>1097</v>
      </c>
    </row>
    <row r="439" spans="1:10">
      <c r="A439" t="s">
        <v>1502</v>
      </c>
      <c r="B439" t="s">
        <v>576</v>
      </c>
      <c r="C439" s="2" t="s">
        <v>250</v>
      </c>
      <c r="E439">
        <v>44298.123</v>
      </c>
      <c r="G439">
        <v>1.4E-2</v>
      </c>
      <c r="I439" t="s">
        <v>1566</v>
      </c>
      <c r="J439" t="s">
        <v>1097</v>
      </c>
    </row>
    <row r="440" spans="1:10">
      <c r="A440" t="s">
        <v>1502</v>
      </c>
      <c r="B440" t="s">
        <v>576</v>
      </c>
      <c r="C440" s="2" t="s">
        <v>251</v>
      </c>
      <c r="E440">
        <v>44326.784</v>
      </c>
      <c r="G440">
        <v>3.0000000000000001E-3</v>
      </c>
      <c r="I440" t="s">
        <v>1567</v>
      </c>
      <c r="J440" t="s">
        <v>1097</v>
      </c>
    </row>
    <row r="441" spans="1:10">
      <c r="A441" t="s">
        <v>1502</v>
      </c>
      <c r="B441" t="s">
        <v>576</v>
      </c>
      <c r="C441" s="2" t="s">
        <v>252</v>
      </c>
      <c r="E441">
        <v>44499.334000000003</v>
      </c>
      <c r="G441">
        <v>2E-3</v>
      </c>
      <c r="I441" t="s">
        <v>1568</v>
      </c>
      <c r="J441" t="s">
        <v>1097</v>
      </c>
    </row>
    <row r="442" spans="1:10">
      <c r="A442" t="s">
        <v>1502</v>
      </c>
      <c r="B442" t="s">
        <v>651</v>
      </c>
      <c r="C442" s="2" t="s">
        <v>249</v>
      </c>
      <c r="E442">
        <v>44298.123</v>
      </c>
      <c r="G442">
        <v>3.0000000000000001E-3</v>
      </c>
      <c r="I442" t="s">
        <v>1569</v>
      </c>
      <c r="J442" t="s">
        <v>1097</v>
      </c>
    </row>
    <row r="443" spans="1:10">
      <c r="A443" t="s">
        <v>1502</v>
      </c>
      <c r="B443" t="s">
        <v>651</v>
      </c>
      <c r="C443" s="2" t="s">
        <v>251</v>
      </c>
      <c r="E443">
        <v>44408.267999999996</v>
      </c>
      <c r="G443">
        <v>3.0000000000000001E-3</v>
      </c>
      <c r="I443" t="s">
        <v>1570</v>
      </c>
      <c r="J443" t="s">
        <v>1097</v>
      </c>
    </row>
    <row r="444" spans="1:10">
      <c r="A444" t="s">
        <v>1502</v>
      </c>
      <c r="B444" t="s">
        <v>651</v>
      </c>
      <c r="C444" s="2" t="s">
        <v>252</v>
      </c>
      <c r="E444">
        <v>44554.214</v>
      </c>
      <c r="G444">
        <v>2E-3</v>
      </c>
      <c r="I444" t="s">
        <v>1571</v>
      </c>
      <c r="J444" t="s">
        <v>1097</v>
      </c>
    </row>
    <row r="445" spans="1:10">
      <c r="A445" t="s">
        <v>1502</v>
      </c>
      <c r="B445" t="s">
        <v>651</v>
      </c>
      <c r="C445" s="2" t="s">
        <v>1702</v>
      </c>
      <c r="E445">
        <v>44746.714</v>
      </c>
      <c r="G445">
        <v>3.0000000000000001E-3</v>
      </c>
      <c r="I445" t="s">
        <v>1572</v>
      </c>
      <c r="J445" t="s">
        <v>1097</v>
      </c>
    </row>
    <row r="446" spans="1:10">
      <c r="A446" t="s">
        <v>1448</v>
      </c>
      <c r="B446" t="s">
        <v>1573</v>
      </c>
      <c r="C446" s="2" t="s">
        <v>720</v>
      </c>
      <c r="E446">
        <v>44452.993000000002</v>
      </c>
      <c r="G446">
        <v>5.0000000000000001E-3</v>
      </c>
      <c r="I446" t="s">
        <v>1574</v>
      </c>
      <c r="J446" t="s">
        <v>1097</v>
      </c>
    </row>
    <row r="447" spans="1:10">
      <c r="A447" t="s">
        <v>1448</v>
      </c>
      <c r="B447" t="s">
        <v>1573</v>
      </c>
      <c r="C447" s="2" t="s">
        <v>1702</v>
      </c>
      <c r="E447">
        <v>44453.686000000002</v>
      </c>
      <c r="G447">
        <v>4.0000000000000001E-3</v>
      </c>
      <c r="I447" t="s">
        <v>1575</v>
      </c>
      <c r="J447" t="s">
        <v>1097</v>
      </c>
    </row>
    <row r="448" spans="1:10">
      <c r="A448" t="s">
        <v>1542</v>
      </c>
      <c r="B448" t="s">
        <v>1576</v>
      </c>
      <c r="C448" s="2" t="s">
        <v>252</v>
      </c>
      <c r="E448">
        <v>44463.264999999999</v>
      </c>
      <c r="G448">
        <v>3.0000000000000001E-3</v>
      </c>
      <c r="H448">
        <v>1.0900000000000001</v>
      </c>
      <c r="I448" t="s">
        <v>1577</v>
      </c>
      <c r="J448" t="s">
        <v>1042</v>
      </c>
    </row>
    <row r="449" spans="1:10">
      <c r="A449" t="s">
        <v>1542</v>
      </c>
      <c r="B449" t="s">
        <v>1576</v>
      </c>
      <c r="C449" s="2" t="s">
        <v>251</v>
      </c>
      <c r="E449">
        <v>44495.557000000001</v>
      </c>
      <c r="G449">
        <v>2E-3</v>
      </c>
      <c r="H449">
        <v>0.91</v>
      </c>
      <c r="I449" t="s">
        <v>1578</v>
      </c>
      <c r="J449" t="s">
        <v>1042</v>
      </c>
    </row>
    <row r="450" spans="1:10">
      <c r="A450" t="s">
        <v>1431</v>
      </c>
      <c r="B450" t="s">
        <v>1579</v>
      </c>
      <c r="C450" s="2" t="s">
        <v>248</v>
      </c>
      <c r="E450">
        <v>44514.557999999997</v>
      </c>
      <c r="G450">
        <v>6.0000000000000001E-3</v>
      </c>
      <c r="I450" t="s">
        <v>1580</v>
      </c>
      <c r="J450" t="s">
        <v>1097</v>
      </c>
    </row>
    <row r="451" spans="1:10">
      <c r="A451" t="s">
        <v>1431</v>
      </c>
      <c r="B451" t="s">
        <v>1579</v>
      </c>
      <c r="C451" s="2" t="s">
        <v>250</v>
      </c>
      <c r="E451">
        <v>44554.607000000004</v>
      </c>
      <c r="G451">
        <v>2E-3</v>
      </c>
      <c r="H451">
        <v>1.22</v>
      </c>
      <c r="I451" t="s">
        <v>1581</v>
      </c>
      <c r="J451" t="s">
        <v>1042</v>
      </c>
    </row>
    <row r="452" spans="1:10">
      <c r="A452" t="s">
        <v>1431</v>
      </c>
      <c r="B452" t="s">
        <v>1579</v>
      </c>
      <c r="C452" s="2" t="s">
        <v>249</v>
      </c>
      <c r="E452">
        <v>44616.946000000004</v>
      </c>
      <c r="G452">
        <v>2E-3</v>
      </c>
      <c r="H452" t="s">
        <v>1582</v>
      </c>
      <c r="I452" t="s">
        <v>1583</v>
      </c>
      <c r="J452" t="s">
        <v>1042</v>
      </c>
    </row>
    <row r="453" spans="1:10">
      <c r="A453" t="s">
        <v>1431</v>
      </c>
      <c r="B453" t="s">
        <v>1579</v>
      </c>
      <c r="C453" s="2" t="s">
        <v>251</v>
      </c>
      <c r="E453">
        <v>44701.133000000002</v>
      </c>
      <c r="G453">
        <v>8.9999999999999993E-3</v>
      </c>
      <c r="H453" t="s">
        <v>1132</v>
      </c>
      <c r="I453" t="s">
        <v>1584</v>
      </c>
      <c r="J453" t="s">
        <v>1042</v>
      </c>
    </row>
    <row r="454" spans="1:10">
      <c r="A454" t="s">
        <v>1553</v>
      </c>
      <c r="B454" t="s">
        <v>576</v>
      </c>
      <c r="C454" s="2" t="s">
        <v>250</v>
      </c>
      <c r="E454">
        <v>44555.3</v>
      </c>
      <c r="G454">
        <v>1.4E-2</v>
      </c>
      <c r="I454" t="s">
        <v>1585</v>
      </c>
      <c r="J454" t="s">
        <v>1097</v>
      </c>
    </row>
    <row r="455" spans="1:10">
      <c r="A455" t="s">
        <v>1553</v>
      </c>
      <c r="B455" t="s">
        <v>576</v>
      </c>
      <c r="C455" s="2" t="s">
        <v>249</v>
      </c>
      <c r="E455">
        <v>44652.682000000001</v>
      </c>
      <c r="G455">
        <v>8.0000000000000002E-3</v>
      </c>
      <c r="I455" t="s">
        <v>1586</v>
      </c>
      <c r="J455" t="s">
        <v>1097</v>
      </c>
    </row>
    <row r="456" spans="1:10">
      <c r="A456" t="s">
        <v>1553</v>
      </c>
      <c r="B456" t="s">
        <v>576</v>
      </c>
      <c r="C456" s="2" t="s">
        <v>251</v>
      </c>
      <c r="E456">
        <v>44759.239000000001</v>
      </c>
      <c r="G456">
        <v>1.2999999999999999E-2</v>
      </c>
      <c r="I456" t="s">
        <v>1587</v>
      </c>
      <c r="J456" t="s">
        <v>1097</v>
      </c>
    </row>
    <row r="457" spans="1:10">
      <c r="A457" t="s">
        <v>1553</v>
      </c>
      <c r="B457" t="s">
        <v>576</v>
      </c>
      <c r="C457" s="2" t="s">
        <v>252</v>
      </c>
      <c r="E457">
        <v>44869.444000000003</v>
      </c>
      <c r="G457">
        <v>4.0000000000000001E-3</v>
      </c>
      <c r="I457" t="s">
        <v>1588</v>
      </c>
      <c r="J457" t="s">
        <v>1097</v>
      </c>
    </row>
    <row r="458" spans="1:10">
      <c r="A458" t="s">
        <v>1502</v>
      </c>
      <c r="B458" t="s">
        <v>1589</v>
      </c>
      <c r="C458" s="2" t="s">
        <v>248</v>
      </c>
      <c r="E458">
        <v>44778.292000000001</v>
      </c>
      <c r="G458">
        <v>7.0000000000000001E-3</v>
      </c>
      <c r="I458" t="s">
        <v>1590</v>
      </c>
      <c r="J458" t="s">
        <v>1097</v>
      </c>
    </row>
    <row r="459" spans="1:10">
      <c r="A459" t="s">
        <v>1502</v>
      </c>
      <c r="B459" t="s">
        <v>1589</v>
      </c>
      <c r="C459" s="2" t="s">
        <v>250</v>
      </c>
      <c r="E459">
        <v>44833.915999999997</v>
      </c>
      <c r="G459">
        <v>4.0000000000000001E-3</v>
      </c>
      <c r="I459" t="s">
        <v>1590</v>
      </c>
      <c r="J459" t="s">
        <v>1097</v>
      </c>
    </row>
    <row r="460" spans="1:10">
      <c r="A460" t="s">
        <v>1502</v>
      </c>
      <c r="B460" t="s">
        <v>1589</v>
      </c>
      <c r="C460" s="2" t="s">
        <v>249</v>
      </c>
      <c r="E460">
        <v>44920.892999999996</v>
      </c>
      <c r="G460">
        <v>4.0000000000000001E-3</v>
      </c>
      <c r="H460" t="s">
        <v>1591</v>
      </c>
      <c r="I460" t="s">
        <v>1590</v>
      </c>
      <c r="J460" t="s">
        <v>1042</v>
      </c>
    </row>
    <row r="461" spans="1:10">
      <c r="A461" t="s">
        <v>1502</v>
      </c>
      <c r="B461" t="s">
        <v>1589</v>
      </c>
      <c r="C461" s="2" t="s">
        <v>251</v>
      </c>
      <c r="E461">
        <v>45031.067000000003</v>
      </c>
      <c r="G461">
        <v>3.0000000000000001E-3</v>
      </c>
      <c r="I461" t="s">
        <v>1590</v>
      </c>
      <c r="J461" t="s">
        <v>1097</v>
      </c>
    </row>
    <row r="462" spans="1:10">
      <c r="A462" t="s">
        <v>1502</v>
      </c>
      <c r="B462" t="s">
        <v>1589</v>
      </c>
      <c r="C462" s="2" t="s">
        <v>252</v>
      </c>
      <c r="E462">
        <v>45157.654999999999</v>
      </c>
      <c r="G462">
        <v>2E-3</v>
      </c>
      <c r="I462" t="s">
        <v>1590</v>
      </c>
      <c r="J462" t="s">
        <v>1097</v>
      </c>
    </row>
    <row r="463" spans="1:10">
      <c r="A463" t="s">
        <v>1495</v>
      </c>
      <c r="B463" t="s">
        <v>606</v>
      </c>
      <c r="C463" s="2" t="s">
        <v>249</v>
      </c>
      <c r="E463">
        <v>44973.472999999998</v>
      </c>
      <c r="G463">
        <v>2E-3</v>
      </c>
      <c r="I463" t="s">
        <v>1592</v>
      </c>
      <c r="J463" t="s">
        <v>1097</v>
      </c>
    </row>
    <row r="464" spans="1:10">
      <c r="A464" t="s">
        <v>1495</v>
      </c>
      <c r="B464" t="s">
        <v>606</v>
      </c>
      <c r="C464" s="2" t="s">
        <v>251</v>
      </c>
      <c r="E464">
        <v>45058.538999999997</v>
      </c>
      <c r="G464">
        <v>4.0000000000000001E-3</v>
      </c>
      <c r="H464">
        <v>0.97</v>
      </c>
      <c r="I464" t="s">
        <v>1593</v>
      </c>
      <c r="J464" t="s">
        <v>1042</v>
      </c>
    </row>
    <row r="465" spans="1:10">
      <c r="A465" t="s">
        <v>1495</v>
      </c>
      <c r="B465" t="s">
        <v>606</v>
      </c>
      <c r="C465" s="2" t="s">
        <v>252</v>
      </c>
      <c r="E465">
        <v>45145.097000000002</v>
      </c>
      <c r="G465">
        <v>2E-3</v>
      </c>
      <c r="H465">
        <v>1.26</v>
      </c>
      <c r="I465" t="s">
        <v>1594</v>
      </c>
      <c r="J465" t="s">
        <v>1042</v>
      </c>
    </row>
    <row r="466" spans="1:10">
      <c r="A466" t="s">
        <v>1495</v>
      </c>
      <c r="B466" t="s">
        <v>606</v>
      </c>
      <c r="C466" s="2" t="s">
        <v>1702</v>
      </c>
      <c r="E466">
        <v>45353.563999999998</v>
      </c>
      <c r="G466">
        <v>3.0000000000000001E-3</v>
      </c>
      <c r="I466" t="s">
        <v>1595</v>
      </c>
      <c r="J466" t="s">
        <v>1097</v>
      </c>
    </row>
    <row r="467" spans="1:10">
      <c r="A467" t="s">
        <v>1495</v>
      </c>
      <c r="B467" t="s">
        <v>1596</v>
      </c>
      <c r="C467" s="2" t="s">
        <v>250</v>
      </c>
      <c r="E467">
        <v>45066.487000000001</v>
      </c>
      <c r="G467">
        <v>1.7999999999999999E-2</v>
      </c>
      <c r="H467">
        <v>0.59</v>
      </c>
      <c r="I467" t="s">
        <v>1590</v>
      </c>
      <c r="J467" t="s">
        <v>1042</v>
      </c>
    </row>
    <row r="468" spans="1:10">
      <c r="A468" t="s">
        <v>1597</v>
      </c>
      <c r="B468" t="s">
        <v>1596</v>
      </c>
      <c r="C468" s="2" t="s">
        <v>249</v>
      </c>
      <c r="E468">
        <v>45107.214</v>
      </c>
      <c r="G468">
        <v>4.0000000000000001E-3</v>
      </c>
      <c r="H468">
        <v>0.93</v>
      </c>
      <c r="I468" t="s">
        <v>1590</v>
      </c>
      <c r="J468" t="s">
        <v>1042</v>
      </c>
    </row>
    <row r="469" spans="1:10">
      <c r="A469" t="s">
        <v>1597</v>
      </c>
      <c r="B469" t="s">
        <v>1596</v>
      </c>
      <c r="C469" s="2" t="s">
        <v>251</v>
      </c>
      <c r="E469">
        <v>45157.767</v>
      </c>
      <c r="G469">
        <v>3.0000000000000001E-3</v>
      </c>
      <c r="H469">
        <v>1.05</v>
      </c>
      <c r="I469" t="s">
        <v>1590</v>
      </c>
      <c r="J469" t="s">
        <v>1042</v>
      </c>
    </row>
    <row r="470" spans="1:10">
      <c r="A470" t="s">
        <v>1597</v>
      </c>
      <c r="B470" t="s">
        <v>1596</v>
      </c>
      <c r="C470" s="2" t="s">
        <v>252</v>
      </c>
      <c r="E470">
        <v>45237.169000000002</v>
      </c>
      <c r="G470">
        <v>3.0000000000000001E-3</v>
      </c>
      <c r="H470">
        <v>1.22</v>
      </c>
      <c r="I470" t="s">
        <v>1598</v>
      </c>
      <c r="J470" t="s">
        <v>1042</v>
      </c>
    </row>
    <row r="471" spans="1:10">
      <c r="A471" t="s">
        <v>1599</v>
      </c>
      <c r="B471" t="s">
        <v>211</v>
      </c>
      <c r="C471" s="2" t="s">
        <v>248</v>
      </c>
      <c r="E471">
        <v>45159.199999999997</v>
      </c>
      <c r="G471">
        <v>1.2999999999999999E-2</v>
      </c>
      <c r="I471" t="s">
        <v>1590</v>
      </c>
      <c r="J471" t="s">
        <v>1097</v>
      </c>
    </row>
    <row r="472" spans="1:10">
      <c r="A472" t="s">
        <v>1600</v>
      </c>
      <c r="B472" t="s">
        <v>1601</v>
      </c>
      <c r="C472" s="2" t="s">
        <v>251</v>
      </c>
      <c r="E472">
        <v>45175.832000000002</v>
      </c>
      <c r="G472">
        <v>3.0000000000000001E-3</v>
      </c>
      <c r="H472">
        <v>0.98</v>
      </c>
      <c r="I472" t="s">
        <v>1590</v>
      </c>
      <c r="J472" t="s">
        <v>1042</v>
      </c>
    </row>
    <row r="473" spans="1:10">
      <c r="A473" t="s">
        <v>1602</v>
      </c>
      <c r="B473" t="s">
        <v>218</v>
      </c>
      <c r="C473" s="2" t="s">
        <v>249</v>
      </c>
      <c r="E473">
        <v>45204.697</v>
      </c>
      <c r="G473">
        <v>2E-3</v>
      </c>
      <c r="I473" t="s">
        <v>1590</v>
      </c>
      <c r="J473" t="s">
        <v>1097</v>
      </c>
    </row>
    <row r="474" spans="1:10">
      <c r="A474" t="s">
        <v>1603</v>
      </c>
      <c r="B474" t="s">
        <v>218</v>
      </c>
      <c r="C474" s="2" t="s">
        <v>250</v>
      </c>
      <c r="E474">
        <v>45233.548999999999</v>
      </c>
      <c r="G474">
        <v>3.3000000000000002E-2</v>
      </c>
      <c r="I474" t="s">
        <v>1590</v>
      </c>
      <c r="J474" t="s">
        <v>1097</v>
      </c>
    </row>
    <row r="475" spans="1:10">
      <c r="A475" t="s">
        <v>1604</v>
      </c>
      <c r="B475" t="s">
        <v>211</v>
      </c>
      <c r="C475" s="2" t="s">
        <v>250</v>
      </c>
      <c r="E475">
        <v>45248.008000000002</v>
      </c>
      <c r="G475">
        <v>0.01</v>
      </c>
      <c r="I475" t="s">
        <v>1590</v>
      </c>
      <c r="J475" t="s">
        <v>1097</v>
      </c>
    </row>
    <row r="476" spans="1:10">
      <c r="A476" t="s">
        <v>1605</v>
      </c>
      <c r="B476" t="s">
        <v>1601</v>
      </c>
      <c r="C476" s="2" t="s">
        <v>252</v>
      </c>
      <c r="E476">
        <v>45361.396000000001</v>
      </c>
      <c r="G476">
        <v>4.0000000000000001E-3</v>
      </c>
      <c r="H476">
        <v>1.1399999999999999</v>
      </c>
      <c r="I476" t="s">
        <v>1590</v>
      </c>
      <c r="J476" t="s">
        <v>1042</v>
      </c>
    </row>
    <row r="477" spans="1:10">
      <c r="A477" t="s">
        <v>1606</v>
      </c>
      <c r="B477" t="s">
        <v>218</v>
      </c>
      <c r="C477" s="2" t="s">
        <v>250</v>
      </c>
      <c r="E477">
        <v>45575.493999999999</v>
      </c>
      <c r="G477">
        <v>7.0000000000000001E-3</v>
      </c>
      <c r="I477" t="s">
        <v>1590</v>
      </c>
      <c r="J477" t="s">
        <v>1097</v>
      </c>
    </row>
    <row r="478" spans="1:10">
      <c r="A478" t="s">
        <v>1607</v>
      </c>
      <c r="B478" t="s">
        <v>1608</v>
      </c>
      <c r="C478" s="2" t="s">
        <v>250</v>
      </c>
      <c r="E478">
        <v>45648.951999999997</v>
      </c>
      <c r="G478">
        <v>5.0000000000000001E-3</v>
      </c>
      <c r="H478">
        <v>0.6</v>
      </c>
      <c r="I478" t="s">
        <v>1609</v>
      </c>
      <c r="J478" t="s">
        <v>1042</v>
      </c>
    </row>
    <row r="479" spans="1:10">
      <c r="A479" t="s">
        <v>1607</v>
      </c>
      <c r="B479" t="s">
        <v>1608</v>
      </c>
      <c r="C479" s="2" t="s">
        <v>249</v>
      </c>
      <c r="E479">
        <v>45688.309000000001</v>
      </c>
      <c r="G479">
        <v>3.0000000000000001E-3</v>
      </c>
      <c r="I479" t="s">
        <v>1610</v>
      </c>
      <c r="J479" t="s">
        <v>1097</v>
      </c>
    </row>
    <row r="480" spans="1:10">
      <c r="A480" t="s">
        <v>1607</v>
      </c>
      <c r="B480" t="s">
        <v>1608</v>
      </c>
      <c r="C480" s="2" t="s">
        <v>251</v>
      </c>
      <c r="E480">
        <v>45760.046000000002</v>
      </c>
      <c r="G480">
        <v>3.0000000000000001E-3</v>
      </c>
      <c r="H480">
        <v>1.02</v>
      </c>
      <c r="I480" t="s">
        <v>1611</v>
      </c>
      <c r="J480" t="s">
        <v>1042</v>
      </c>
    </row>
    <row r="481" spans="1:10">
      <c r="A481" t="s">
        <v>1607</v>
      </c>
      <c r="B481" t="s">
        <v>1608</v>
      </c>
      <c r="C481" s="2" t="s">
        <v>252</v>
      </c>
      <c r="E481">
        <v>45891.582999999999</v>
      </c>
      <c r="G481">
        <v>2E-3</v>
      </c>
      <c r="H481">
        <v>1.32</v>
      </c>
      <c r="I481" t="s">
        <v>1612</v>
      </c>
      <c r="J481" t="s">
        <v>1042</v>
      </c>
    </row>
    <row r="482" spans="1:10">
      <c r="A482" t="s">
        <v>1613</v>
      </c>
      <c r="B482" t="s">
        <v>218</v>
      </c>
      <c r="C482" s="2" t="s">
        <v>249</v>
      </c>
      <c r="E482">
        <v>45654.368000000002</v>
      </c>
      <c r="G482">
        <v>3.0000000000000001E-3</v>
      </c>
      <c r="I482" t="s">
        <v>1590</v>
      </c>
      <c r="J482" t="s">
        <v>1097</v>
      </c>
    </row>
    <row r="483" spans="1:10">
      <c r="A483" t="s">
        <v>1495</v>
      </c>
      <c r="B483" t="s">
        <v>1614</v>
      </c>
      <c r="C483" s="2" t="s">
        <v>248</v>
      </c>
      <c r="E483">
        <v>45702.355000000003</v>
      </c>
      <c r="G483">
        <v>4.0000000000000001E-3</v>
      </c>
      <c r="I483" t="s">
        <v>1615</v>
      </c>
      <c r="J483" t="s">
        <v>1097</v>
      </c>
    </row>
    <row r="484" spans="1:10">
      <c r="A484" t="s">
        <v>1495</v>
      </c>
      <c r="B484" t="s">
        <v>1614</v>
      </c>
      <c r="C484" s="2" t="s">
        <v>250</v>
      </c>
      <c r="E484">
        <v>45762.309000000001</v>
      </c>
      <c r="G484">
        <v>3.0000000000000001E-3</v>
      </c>
      <c r="H484" t="s">
        <v>1616</v>
      </c>
      <c r="I484" t="s">
        <v>1617</v>
      </c>
      <c r="J484" t="s">
        <v>1042</v>
      </c>
    </row>
    <row r="485" spans="1:10">
      <c r="A485" t="s">
        <v>1495</v>
      </c>
      <c r="B485" t="s">
        <v>1614</v>
      </c>
      <c r="C485" s="2" t="s">
        <v>249</v>
      </c>
      <c r="E485">
        <v>45838.082000000002</v>
      </c>
      <c r="G485">
        <v>0.01</v>
      </c>
      <c r="I485" t="s">
        <v>1618</v>
      </c>
      <c r="J485" t="s">
        <v>1097</v>
      </c>
    </row>
    <row r="486" spans="1:10">
      <c r="A486" t="s">
        <v>1495</v>
      </c>
      <c r="B486" t="s">
        <v>1614</v>
      </c>
      <c r="C486" s="2" t="s">
        <v>251</v>
      </c>
      <c r="E486">
        <v>45937.06</v>
      </c>
      <c r="G486">
        <v>3.0000000000000001E-3</v>
      </c>
      <c r="H486">
        <v>1.45</v>
      </c>
      <c r="I486" t="s">
        <v>1619</v>
      </c>
      <c r="J486" t="s">
        <v>1042</v>
      </c>
    </row>
    <row r="487" spans="1:10">
      <c r="A487" t="s">
        <v>1620</v>
      </c>
      <c r="B487" t="s">
        <v>1621</v>
      </c>
      <c r="C487" s="2" t="s">
        <v>248</v>
      </c>
      <c r="E487">
        <v>45747.235000000001</v>
      </c>
      <c r="G487">
        <v>1.6E-2</v>
      </c>
      <c r="I487" t="s">
        <v>1622</v>
      </c>
      <c r="J487" t="s">
        <v>1097</v>
      </c>
    </row>
    <row r="488" spans="1:10">
      <c r="A488" t="s">
        <v>1620</v>
      </c>
      <c r="B488" t="s">
        <v>1621</v>
      </c>
      <c r="C488" s="2" t="s">
        <v>250</v>
      </c>
      <c r="E488">
        <v>45788.690999999999</v>
      </c>
      <c r="G488">
        <v>5.0000000000000001E-3</v>
      </c>
      <c r="I488" t="s">
        <v>1623</v>
      </c>
      <c r="J488" t="s">
        <v>1097</v>
      </c>
    </row>
    <row r="489" spans="1:10">
      <c r="A489" t="s">
        <v>1620</v>
      </c>
      <c r="B489" t="s">
        <v>1621</v>
      </c>
      <c r="C489" s="2" t="s">
        <v>249</v>
      </c>
      <c r="E489">
        <v>45858.646999999997</v>
      </c>
      <c r="G489">
        <v>3.0000000000000001E-3</v>
      </c>
      <c r="I489" t="s">
        <v>1624</v>
      </c>
      <c r="J489" t="s">
        <v>1097</v>
      </c>
    </row>
    <row r="490" spans="1:10">
      <c r="A490" t="s">
        <v>1620</v>
      </c>
      <c r="B490" t="s">
        <v>1621</v>
      </c>
      <c r="C490" s="2" t="s">
        <v>251</v>
      </c>
      <c r="E490">
        <v>45956.173000000003</v>
      </c>
      <c r="G490">
        <v>3.0000000000000001E-3</v>
      </c>
      <c r="I490" t="s">
        <v>1624</v>
      </c>
      <c r="J490" t="s">
        <v>1097</v>
      </c>
    </row>
    <row r="491" spans="1:10">
      <c r="A491" t="s">
        <v>1620</v>
      </c>
      <c r="B491" t="s">
        <v>1621</v>
      </c>
      <c r="C491" s="2" t="s">
        <v>252</v>
      </c>
      <c r="E491">
        <v>46078.826000000001</v>
      </c>
      <c r="G491">
        <v>4.0000000000000001E-3</v>
      </c>
      <c r="I491" t="s">
        <v>1625</v>
      </c>
      <c r="J491" t="s">
        <v>1097</v>
      </c>
    </row>
    <row r="492" spans="1:10">
      <c r="A492" t="s">
        <v>1620</v>
      </c>
      <c r="B492" t="s">
        <v>231</v>
      </c>
      <c r="C492" s="2" t="s">
        <v>250</v>
      </c>
      <c r="E492">
        <v>45990.235000000001</v>
      </c>
      <c r="G492">
        <v>4.0000000000000001E-3</v>
      </c>
      <c r="I492" t="s">
        <v>1626</v>
      </c>
      <c r="J492" t="s">
        <v>1097</v>
      </c>
    </row>
    <row r="493" spans="1:10">
      <c r="A493" t="s">
        <v>1620</v>
      </c>
      <c r="B493" t="s">
        <v>231</v>
      </c>
      <c r="C493" s="2" t="s">
        <v>249</v>
      </c>
      <c r="E493">
        <v>46094.036999999997</v>
      </c>
      <c r="G493">
        <v>5.0000000000000001E-3</v>
      </c>
      <c r="I493" t="s">
        <v>1626</v>
      </c>
      <c r="J493" t="s">
        <v>1097</v>
      </c>
    </row>
    <row r="494" spans="1:10">
      <c r="A494" t="s">
        <v>1620</v>
      </c>
      <c r="B494" t="s">
        <v>231</v>
      </c>
      <c r="C494" s="2" t="s">
        <v>251</v>
      </c>
      <c r="E494">
        <v>46230.13</v>
      </c>
      <c r="G494">
        <v>2E-3</v>
      </c>
      <c r="I494" t="s">
        <v>1626</v>
      </c>
      <c r="J494" t="s">
        <v>1097</v>
      </c>
    </row>
    <row r="495" spans="1:10">
      <c r="A495" t="s">
        <v>1607</v>
      </c>
      <c r="B495" t="s">
        <v>1627</v>
      </c>
      <c r="C495" s="2" t="s">
        <v>249</v>
      </c>
      <c r="E495">
        <v>46052.703000000001</v>
      </c>
      <c r="G495">
        <v>2E-3</v>
      </c>
      <c r="H495">
        <v>0.56000000000000005</v>
      </c>
      <c r="I495" t="s">
        <v>1628</v>
      </c>
      <c r="J495" t="s">
        <v>1042</v>
      </c>
    </row>
    <row r="496" spans="1:10">
      <c r="A496" t="s">
        <v>1607</v>
      </c>
      <c r="B496" t="s">
        <v>1627</v>
      </c>
      <c r="C496" s="2" t="s">
        <v>251</v>
      </c>
      <c r="E496">
        <v>46139.093000000001</v>
      </c>
      <c r="F496" t="s">
        <v>1155</v>
      </c>
      <c r="G496">
        <v>3.0000000000000001E-3</v>
      </c>
      <c r="H496">
        <v>0.96</v>
      </c>
      <c r="I496" t="s">
        <v>1629</v>
      </c>
      <c r="J496" t="s">
        <v>1042</v>
      </c>
    </row>
    <row r="497" spans="1:10">
      <c r="A497" t="s">
        <v>1607</v>
      </c>
      <c r="B497" t="s">
        <v>1627</v>
      </c>
      <c r="C497" s="2" t="s">
        <v>252</v>
      </c>
      <c r="E497">
        <v>46243.737000000001</v>
      </c>
      <c r="F497" t="s">
        <v>1155</v>
      </c>
      <c r="G497">
        <v>4.0000000000000001E-3</v>
      </c>
      <c r="I497" t="s">
        <v>1630</v>
      </c>
      <c r="J497" t="s">
        <v>1097</v>
      </c>
    </row>
    <row r="498" spans="1:10">
      <c r="A498" t="s">
        <v>1607</v>
      </c>
      <c r="B498" t="s">
        <v>1627</v>
      </c>
      <c r="C498" s="2" t="s">
        <v>1702</v>
      </c>
      <c r="E498">
        <v>46363.459000000003</v>
      </c>
      <c r="F498" t="s">
        <v>1155</v>
      </c>
      <c r="G498">
        <v>4.0000000000000001E-3</v>
      </c>
      <c r="H498">
        <v>1.19</v>
      </c>
      <c r="I498" t="s">
        <v>1631</v>
      </c>
      <c r="J498" t="s">
        <v>1042</v>
      </c>
    </row>
    <row r="499" spans="1:10">
      <c r="A499" t="s">
        <v>1607</v>
      </c>
      <c r="B499" t="s">
        <v>216</v>
      </c>
      <c r="C499" s="2" t="s">
        <v>251</v>
      </c>
      <c r="E499">
        <v>46563.072999999997</v>
      </c>
      <c r="G499">
        <v>6.0000000000000001E-3</v>
      </c>
      <c r="I499" t="s">
        <v>1632</v>
      </c>
      <c r="J499" t="s">
        <v>1097</v>
      </c>
    </row>
    <row r="500" spans="1:10">
      <c r="A500" t="s">
        <v>1607</v>
      </c>
      <c r="B500" t="s">
        <v>216</v>
      </c>
      <c r="C500" s="2" t="s">
        <v>249</v>
      </c>
      <c r="E500">
        <v>46645.722999999998</v>
      </c>
      <c r="G500">
        <v>8.0000000000000002E-3</v>
      </c>
      <c r="I500" t="s">
        <v>1633</v>
      </c>
      <c r="J500" t="s">
        <v>1097</v>
      </c>
    </row>
    <row r="501" spans="1:10">
      <c r="A501" t="s">
        <v>1607</v>
      </c>
      <c r="B501" t="s">
        <v>216</v>
      </c>
      <c r="C501" s="2" t="s">
        <v>250</v>
      </c>
      <c r="E501">
        <v>46707.519</v>
      </c>
      <c r="G501">
        <v>8.0000000000000002E-3</v>
      </c>
      <c r="I501" t="s">
        <v>1634</v>
      </c>
      <c r="J501" t="s">
        <v>1097</v>
      </c>
    </row>
    <row r="502" spans="1:10">
      <c r="A502" t="s">
        <v>1431</v>
      </c>
      <c r="B502" t="s">
        <v>1635</v>
      </c>
      <c r="C502" s="2" t="s">
        <v>248</v>
      </c>
      <c r="E502">
        <v>46851.17</v>
      </c>
      <c r="G502">
        <v>1.2E-2</v>
      </c>
      <c r="I502" t="s">
        <v>1636</v>
      </c>
      <c r="J502" t="s">
        <v>1097</v>
      </c>
    </row>
    <row r="503" spans="1:10">
      <c r="A503" t="s">
        <v>1431</v>
      </c>
      <c r="B503" t="s">
        <v>1635</v>
      </c>
      <c r="C503" s="2" t="s">
        <v>250</v>
      </c>
      <c r="E503">
        <v>46862.786</v>
      </c>
      <c r="G503">
        <v>7.0000000000000001E-3</v>
      </c>
      <c r="I503" t="s">
        <v>1637</v>
      </c>
      <c r="J503" t="s">
        <v>1097</v>
      </c>
    </row>
    <row r="504" spans="1:10">
      <c r="A504" t="s">
        <v>1431</v>
      </c>
      <c r="B504" t="s">
        <v>1635</v>
      </c>
      <c r="C504" s="2" t="s">
        <v>249</v>
      </c>
      <c r="E504">
        <v>46868.078999999998</v>
      </c>
      <c r="G504">
        <v>4.0000000000000001E-3</v>
      </c>
      <c r="I504" t="s">
        <v>1638</v>
      </c>
      <c r="J504" t="s">
        <v>1097</v>
      </c>
    </row>
    <row r="505" spans="1:10">
      <c r="A505" t="s">
        <v>1607</v>
      </c>
      <c r="B505" t="s">
        <v>1639</v>
      </c>
      <c r="C505" s="2" t="s">
        <v>249</v>
      </c>
      <c r="E505">
        <v>46996.847999999998</v>
      </c>
      <c r="F505" t="s">
        <v>1155</v>
      </c>
      <c r="G505">
        <v>0.02</v>
      </c>
      <c r="I505" t="s">
        <v>1640</v>
      </c>
      <c r="J505" t="s">
        <v>1097</v>
      </c>
    </row>
    <row r="506" spans="1:10">
      <c r="A506" t="s">
        <v>1607</v>
      </c>
      <c r="B506" t="s">
        <v>1639</v>
      </c>
      <c r="C506" s="2" t="s">
        <v>251</v>
      </c>
      <c r="E506">
        <v>47143.195</v>
      </c>
      <c r="F506" t="s">
        <v>1155</v>
      </c>
      <c r="G506">
        <v>5.0000000000000001E-3</v>
      </c>
      <c r="H506">
        <v>1.02</v>
      </c>
      <c r="I506" t="s">
        <v>1641</v>
      </c>
      <c r="J506" t="s">
        <v>1042</v>
      </c>
    </row>
    <row r="507" spans="1:10">
      <c r="A507" t="s">
        <v>1642</v>
      </c>
      <c r="B507" t="s">
        <v>211</v>
      </c>
      <c r="C507" s="2" t="s">
        <v>248</v>
      </c>
      <c r="E507">
        <v>47098.084999999999</v>
      </c>
      <c r="G507">
        <v>6.0000000000000001E-3</v>
      </c>
      <c r="I507" t="s">
        <v>1643</v>
      </c>
      <c r="J507" t="s">
        <v>1097</v>
      </c>
    </row>
    <row r="508" spans="1:10">
      <c r="A508" t="s">
        <v>1642</v>
      </c>
      <c r="B508" t="s">
        <v>211</v>
      </c>
      <c r="C508" s="2" t="s">
        <v>250</v>
      </c>
      <c r="E508">
        <v>47413.953999999998</v>
      </c>
      <c r="F508" t="s">
        <v>1155</v>
      </c>
      <c r="G508">
        <v>6.0000000000000001E-3</v>
      </c>
      <c r="I508" t="s">
        <v>1644</v>
      </c>
      <c r="J508" t="s">
        <v>1097</v>
      </c>
    </row>
    <row r="509" spans="1:10">
      <c r="A509" t="s">
        <v>1645</v>
      </c>
      <c r="B509" t="s">
        <v>576</v>
      </c>
      <c r="C509" s="2" t="s">
        <v>250</v>
      </c>
      <c r="E509">
        <v>47394.025999999998</v>
      </c>
      <c r="G509">
        <v>4.0000000000000001E-3</v>
      </c>
      <c r="I509" t="s">
        <v>1590</v>
      </c>
      <c r="J509" t="s">
        <v>1097</v>
      </c>
    </row>
    <row r="510" spans="1:10">
      <c r="A510" t="s">
        <v>1646</v>
      </c>
      <c r="B510" t="s">
        <v>576</v>
      </c>
      <c r="C510" s="2" t="s">
        <v>249</v>
      </c>
      <c r="E510">
        <v>47531.406999999999</v>
      </c>
      <c r="G510">
        <v>3.0000000000000001E-3</v>
      </c>
      <c r="I510" t="s">
        <v>1590</v>
      </c>
      <c r="J510" t="s">
        <v>1097</v>
      </c>
    </row>
    <row r="511" spans="1:10">
      <c r="A511" t="s">
        <v>1647</v>
      </c>
      <c r="B511" t="s">
        <v>644</v>
      </c>
      <c r="C511" s="2" t="s">
        <v>252</v>
      </c>
      <c r="E511">
        <v>47611.858</v>
      </c>
      <c r="G511">
        <v>3.0000000000000001E-3</v>
      </c>
      <c r="H511" t="s">
        <v>1648</v>
      </c>
      <c r="I511" t="s">
        <v>1649</v>
      </c>
      <c r="J511" t="s">
        <v>1042</v>
      </c>
    </row>
    <row r="512" spans="1:10">
      <c r="A512" t="s">
        <v>1647</v>
      </c>
      <c r="B512" t="s">
        <v>644</v>
      </c>
      <c r="C512" s="2" t="s">
        <v>1702</v>
      </c>
      <c r="E512">
        <v>47701.807000000001</v>
      </c>
      <c r="G512">
        <v>2E-3</v>
      </c>
      <c r="H512">
        <v>0.94</v>
      </c>
      <c r="I512" t="s">
        <v>1650</v>
      </c>
      <c r="J512" t="s">
        <v>1042</v>
      </c>
    </row>
    <row r="513" spans="1:10">
      <c r="A513" t="s">
        <v>1651</v>
      </c>
      <c r="B513" t="s">
        <v>576</v>
      </c>
      <c r="C513" s="2" t="s">
        <v>251</v>
      </c>
      <c r="E513">
        <v>47717.455000000002</v>
      </c>
      <c r="G513">
        <v>3.0000000000000001E-3</v>
      </c>
      <c r="I513" t="s">
        <v>1590</v>
      </c>
      <c r="J513" t="s">
        <v>1097</v>
      </c>
    </row>
    <row r="514" spans="1:10">
      <c r="A514" t="s">
        <v>1652</v>
      </c>
      <c r="B514" t="s">
        <v>1653</v>
      </c>
      <c r="C514" s="2" t="s">
        <v>250</v>
      </c>
      <c r="E514">
        <v>47802.097999999998</v>
      </c>
      <c r="G514">
        <v>8.9999999999999993E-3</v>
      </c>
      <c r="I514" t="s">
        <v>1654</v>
      </c>
      <c r="J514" t="s">
        <v>1097</v>
      </c>
    </row>
    <row r="515" spans="1:10">
      <c r="A515" t="s">
        <v>1652</v>
      </c>
      <c r="B515" t="s">
        <v>1653</v>
      </c>
      <c r="C515" s="2" t="s">
        <v>249</v>
      </c>
      <c r="E515">
        <v>47916.285000000003</v>
      </c>
      <c r="F515" t="s">
        <v>1155</v>
      </c>
      <c r="G515">
        <v>5.0000000000000001E-3</v>
      </c>
      <c r="I515" t="s">
        <v>1654</v>
      </c>
      <c r="J515" t="s">
        <v>1097</v>
      </c>
    </row>
    <row r="516" spans="1:10">
      <c r="A516" t="s">
        <v>1652</v>
      </c>
      <c r="B516" t="s">
        <v>1653</v>
      </c>
      <c r="C516" s="2" t="s">
        <v>251</v>
      </c>
      <c r="E516">
        <v>48140.241999999998</v>
      </c>
      <c r="G516">
        <v>4.0000000000000001E-3</v>
      </c>
      <c r="I516" t="s">
        <v>1655</v>
      </c>
      <c r="J516" t="s">
        <v>1097</v>
      </c>
    </row>
    <row r="517" spans="1:10">
      <c r="A517" t="s">
        <v>1652</v>
      </c>
      <c r="B517" t="s">
        <v>1653</v>
      </c>
      <c r="C517" s="2" t="s">
        <v>252</v>
      </c>
      <c r="E517">
        <v>48328.438000000002</v>
      </c>
      <c r="G517">
        <v>2E-3</v>
      </c>
      <c r="I517" t="s">
        <v>1656</v>
      </c>
      <c r="J517" t="s">
        <v>1097</v>
      </c>
    </row>
    <row r="518" spans="1:10">
      <c r="A518" t="s">
        <v>1657</v>
      </c>
      <c r="B518" t="s">
        <v>576</v>
      </c>
      <c r="C518" s="2" t="s">
        <v>252</v>
      </c>
      <c r="E518">
        <v>47946.974000000002</v>
      </c>
      <c r="G518">
        <v>3.0000000000000001E-3</v>
      </c>
      <c r="I518" t="s">
        <v>1590</v>
      </c>
      <c r="J518" t="s">
        <v>1097</v>
      </c>
    </row>
    <row r="519" spans="1:10">
      <c r="A519" t="s">
        <v>1607</v>
      </c>
      <c r="B519" t="s">
        <v>1658</v>
      </c>
      <c r="C519" s="2" t="s">
        <v>251</v>
      </c>
      <c r="E519">
        <v>47959.868000000002</v>
      </c>
      <c r="G519">
        <v>2E-3</v>
      </c>
      <c r="H519">
        <v>0.89</v>
      </c>
      <c r="I519" t="s">
        <v>1659</v>
      </c>
      <c r="J519" t="s">
        <v>1042</v>
      </c>
    </row>
    <row r="520" spans="1:10">
      <c r="A520" t="s">
        <v>1607</v>
      </c>
      <c r="B520" t="s">
        <v>1658</v>
      </c>
      <c r="C520" s="2" t="s">
        <v>252</v>
      </c>
      <c r="E520">
        <v>48157.648000000001</v>
      </c>
      <c r="G520">
        <v>1.2E-2</v>
      </c>
      <c r="H520">
        <v>1.08</v>
      </c>
      <c r="I520" t="s">
        <v>1660</v>
      </c>
      <c r="J520" t="s">
        <v>1042</v>
      </c>
    </row>
    <row r="521" spans="1:10">
      <c r="A521" t="s">
        <v>1642</v>
      </c>
      <c r="B521" t="s">
        <v>1661</v>
      </c>
      <c r="C521" s="2" t="s">
        <v>248</v>
      </c>
      <c r="E521">
        <v>48844.635999999999</v>
      </c>
      <c r="G521">
        <v>4.0000000000000001E-3</v>
      </c>
      <c r="H521">
        <v>2.0299999999999998</v>
      </c>
      <c r="I521" t="s">
        <v>1662</v>
      </c>
      <c r="J521" t="s">
        <v>1042</v>
      </c>
    </row>
    <row r="522" spans="1:10">
      <c r="A522" t="s">
        <v>1652</v>
      </c>
      <c r="B522" t="s">
        <v>1663</v>
      </c>
      <c r="C522" s="2" t="s">
        <v>248</v>
      </c>
      <c r="E522">
        <v>49189.999000000003</v>
      </c>
      <c r="F522" t="s">
        <v>1155</v>
      </c>
      <c r="G522">
        <v>1.7000000000000001E-2</v>
      </c>
      <c r="I522" t="s">
        <v>1664</v>
      </c>
      <c r="J522" t="s">
        <v>1097</v>
      </c>
    </row>
    <row r="523" spans="1:10">
      <c r="A523" t="s">
        <v>1652</v>
      </c>
      <c r="B523" t="s">
        <v>1663</v>
      </c>
      <c r="C523" s="2" t="s">
        <v>250</v>
      </c>
      <c r="E523">
        <v>49283.803999999996</v>
      </c>
      <c r="F523" t="s">
        <v>1155</v>
      </c>
      <c r="G523">
        <v>5.0000000000000001E-3</v>
      </c>
      <c r="I523" t="s">
        <v>1665</v>
      </c>
      <c r="J523" t="s">
        <v>1097</v>
      </c>
    </row>
    <row r="524" spans="1:10">
      <c r="A524" t="s">
        <v>1652</v>
      </c>
      <c r="B524" t="s">
        <v>1663</v>
      </c>
      <c r="C524" s="2" t="s">
        <v>249</v>
      </c>
      <c r="E524">
        <v>49439.963000000003</v>
      </c>
      <c r="F524" t="s">
        <v>1155</v>
      </c>
      <c r="G524">
        <v>1.7000000000000001E-2</v>
      </c>
      <c r="I524" t="s">
        <v>1665</v>
      </c>
      <c r="J524" t="s">
        <v>1097</v>
      </c>
    </row>
    <row r="525" spans="1:10">
      <c r="A525" t="s">
        <v>1652</v>
      </c>
      <c r="B525" t="s">
        <v>1663</v>
      </c>
      <c r="C525" s="2" t="s">
        <v>251</v>
      </c>
      <c r="E525">
        <v>49583.843000000001</v>
      </c>
      <c r="G525">
        <v>6.0000000000000001E-3</v>
      </c>
      <c r="I525" t="s">
        <v>1666</v>
      </c>
      <c r="J525" t="s">
        <v>1097</v>
      </c>
    </row>
    <row r="526" spans="1:10">
      <c r="A526" t="s">
        <v>1667</v>
      </c>
      <c r="B526" t="s">
        <v>1621</v>
      </c>
      <c r="C526" s="2" t="s">
        <v>248</v>
      </c>
      <c r="E526">
        <v>49506.305</v>
      </c>
      <c r="G526">
        <v>0.01</v>
      </c>
      <c r="I526" t="s">
        <v>1590</v>
      </c>
      <c r="J526" t="s">
        <v>1097</v>
      </c>
    </row>
    <row r="527" spans="1:10">
      <c r="A527" t="s">
        <v>1668</v>
      </c>
      <c r="B527" t="s">
        <v>1621</v>
      </c>
      <c r="C527" s="2" t="s">
        <v>250</v>
      </c>
      <c r="E527">
        <v>49547.248</v>
      </c>
      <c r="G527">
        <v>2E-3</v>
      </c>
      <c r="I527" t="s">
        <v>1590</v>
      </c>
      <c r="J527" t="s">
        <v>1097</v>
      </c>
    </row>
    <row r="528" spans="1:10">
      <c r="A528" t="s">
        <v>1669</v>
      </c>
      <c r="B528" t="s">
        <v>1621</v>
      </c>
      <c r="C528" s="2" t="s">
        <v>249</v>
      </c>
      <c r="E528">
        <v>49614.180999999997</v>
      </c>
      <c r="G528">
        <v>4.0000000000000001E-3</v>
      </c>
      <c r="I528" t="s">
        <v>1590</v>
      </c>
      <c r="J528" t="s">
        <v>1097</v>
      </c>
    </row>
    <row r="529" spans="1:10">
      <c r="A529" t="s">
        <v>1642</v>
      </c>
      <c r="B529" t="s">
        <v>1670</v>
      </c>
      <c r="C529" s="2" t="s">
        <v>249</v>
      </c>
      <c r="E529">
        <v>49688.830999999998</v>
      </c>
      <c r="G529">
        <v>1.4999999999999999E-2</v>
      </c>
      <c r="H529">
        <v>1.25</v>
      </c>
      <c r="I529" t="s">
        <v>1671</v>
      </c>
      <c r="J529" t="s">
        <v>1042</v>
      </c>
    </row>
    <row r="530" spans="1:10">
      <c r="A530" t="s">
        <v>1642</v>
      </c>
      <c r="B530" t="s">
        <v>1670</v>
      </c>
      <c r="C530" s="2" t="s">
        <v>250</v>
      </c>
      <c r="E530">
        <v>49722.709000000003</v>
      </c>
      <c r="G530">
        <v>1.2999999999999999E-2</v>
      </c>
      <c r="I530" t="s">
        <v>1672</v>
      </c>
      <c r="J530" t="s">
        <v>1097</v>
      </c>
    </row>
    <row r="531" spans="1:10">
      <c r="A531" t="s">
        <v>1673</v>
      </c>
      <c r="B531" t="s">
        <v>1621</v>
      </c>
      <c r="C531" s="2" t="s">
        <v>251</v>
      </c>
      <c r="E531">
        <v>49705.392999999996</v>
      </c>
      <c r="G531">
        <v>5.0000000000000001E-3</v>
      </c>
      <c r="I531" t="s">
        <v>1590</v>
      </c>
      <c r="J531" t="s">
        <v>1097</v>
      </c>
    </row>
    <row r="532" spans="1:10">
      <c r="A532" t="s">
        <v>1674</v>
      </c>
      <c r="B532" t="s">
        <v>1675</v>
      </c>
      <c r="C532" s="2" t="s">
        <v>251</v>
      </c>
      <c r="E532">
        <v>49796.845000000001</v>
      </c>
      <c r="G532">
        <v>4.0000000000000001E-3</v>
      </c>
      <c r="I532" t="s">
        <v>1676</v>
      </c>
      <c r="J532" t="s">
        <v>1097</v>
      </c>
    </row>
    <row r="533" spans="1:10">
      <c r="A533" t="s">
        <v>1674</v>
      </c>
      <c r="B533" t="s">
        <v>1675</v>
      </c>
      <c r="C533" s="2" t="s">
        <v>252</v>
      </c>
      <c r="E533">
        <v>49875.357000000004</v>
      </c>
      <c r="G533">
        <v>3.0000000000000001E-3</v>
      </c>
      <c r="I533" t="s">
        <v>1677</v>
      </c>
      <c r="J533" t="s">
        <v>1097</v>
      </c>
    </row>
    <row r="534" spans="1:10">
      <c r="A534" t="s">
        <v>1674</v>
      </c>
      <c r="B534" t="s">
        <v>1675</v>
      </c>
      <c r="C534" s="2" t="s">
        <v>1702</v>
      </c>
      <c r="E534">
        <v>49951.709000000003</v>
      </c>
      <c r="G534">
        <v>4.0000000000000001E-3</v>
      </c>
      <c r="I534" t="s">
        <v>1678</v>
      </c>
      <c r="J534" t="s">
        <v>1097</v>
      </c>
    </row>
    <row r="535" spans="1:10">
      <c r="A535" t="s">
        <v>1674</v>
      </c>
      <c r="B535" t="s">
        <v>1675</v>
      </c>
      <c r="C535" s="2" t="s">
        <v>720</v>
      </c>
      <c r="E535">
        <v>50082.014999999999</v>
      </c>
      <c r="G535">
        <v>1.4999999999999999E-2</v>
      </c>
      <c r="I535" t="s">
        <v>1679</v>
      </c>
      <c r="J535" t="s">
        <v>1097</v>
      </c>
    </row>
    <row r="536" spans="1:10">
      <c r="A536" t="s">
        <v>1674</v>
      </c>
      <c r="B536" t="s">
        <v>1675</v>
      </c>
      <c r="C536" s="2" t="s">
        <v>1322</v>
      </c>
      <c r="E536">
        <v>50301.330999999998</v>
      </c>
      <c r="G536">
        <v>3.0000000000000001E-3</v>
      </c>
      <c r="I536" t="s">
        <v>1680</v>
      </c>
      <c r="J536" t="s">
        <v>1097</v>
      </c>
    </row>
    <row r="537" spans="1:10">
      <c r="A537" t="s">
        <v>1681</v>
      </c>
      <c r="B537" t="s">
        <v>1621</v>
      </c>
      <c r="C537" s="2" t="s">
        <v>252</v>
      </c>
      <c r="E537">
        <v>49818.83</v>
      </c>
      <c r="G537">
        <v>3.0000000000000001E-3</v>
      </c>
      <c r="I537" t="s">
        <v>1590</v>
      </c>
      <c r="J537" t="s">
        <v>1097</v>
      </c>
    </row>
    <row r="538" spans="1:10">
      <c r="A538" t="s">
        <v>1682</v>
      </c>
      <c r="B538" t="s">
        <v>1683</v>
      </c>
      <c r="C538" s="2" t="s">
        <v>252</v>
      </c>
      <c r="E538">
        <v>49932.105000000003</v>
      </c>
      <c r="G538">
        <v>5.0000000000000001E-3</v>
      </c>
      <c r="I538" t="s">
        <v>1590</v>
      </c>
      <c r="J538" t="s">
        <v>1684</v>
      </c>
    </row>
    <row r="539" spans="1:10">
      <c r="A539" t="s">
        <v>1682</v>
      </c>
      <c r="B539" t="s">
        <v>1683</v>
      </c>
      <c r="C539" s="2" t="s">
        <v>1702</v>
      </c>
      <c r="E539">
        <v>50114.45</v>
      </c>
      <c r="G539">
        <v>2.1999999999999999E-2</v>
      </c>
      <c r="I539" t="s">
        <v>1590</v>
      </c>
      <c r="J539" t="s">
        <v>1684</v>
      </c>
    </row>
    <row r="540" spans="1:10">
      <c r="A540" t="s">
        <v>1685</v>
      </c>
      <c r="B540" t="s">
        <v>1686</v>
      </c>
      <c r="C540" s="2" t="s">
        <v>1702</v>
      </c>
      <c r="E540">
        <v>49978.178</v>
      </c>
      <c r="G540">
        <v>4.0000000000000001E-3</v>
      </c>
      <c r="H540">
        <v>0.91</v>
      </c>
      <c r="I540" t="s">
        <v>1687</v>
      </c>
      <c r="J540" t="s">
        <v>1042</v>
      </c>
    </row>
    <row r="541" spans="1:10">
      <c r="A541" t="s">
        <v>1685</v>
      </c>
      <c r="B541" t="s">
        <v>1686</v>
      </c>
      <c r="C541" s="2" t="s">
        <v>720</v>
      </c>
      <c r="E541">
        <v>50120.883999999998</v>
      </c>
      <c r="F541" t="s">
        <v>1155</v>
      </c>
      <c r="G541">
        <v>3.0000000000000001E-3</v>
      </c>
      <c r="H541">
        <v>1.06</v>
      </c>
      <c r="I541" t="s">
        <v>1688</v>
      </c>
      <c r="J541" t="s">
        <v>1042</v>
      </c>
    </row>
    <row r="542" spans="1:10">
      <c r="A542" t="s">
        <v>1689</v>
      </c>
      <c r="B542" t="s">
        <v>609</v>
      </c>
      <c r="C542" s="2" t="s">
        <v>251</v>
      </c>
      <c r="E542">
        <v>50223.489000000001</v>
      </c>
      <c r="G542">
        <v>3.0000000000000001E-3</v>
      </c>
      <c r="I542" t="s">
        <v>1590</v>
      </c>
      <c r="J542" t="s">
        <v>1097</v>
      </c>
    </row>
    <row r="543" spans="1:10">
      <c r="A543" t="s">
        <v>1690</v>
      </c>
      <c r="B543" t="s">
        <v>609</v>
      </c>
      <c r="C543" s="2" t="s">
        <v>252</v>
      </c>
      <c r="E543">
        <v>50370.892999999996</v>
      </c>
      <c r="G543">
        <v>2.5000000000000001E-2</v>
      </c>
      <c r="I543" t="s">
        <v>1590</v>
      </c>
      <c r="J543" t="s">
        <v>1097</v>
      </c>
    </row>
    <row r="544" spans="1:10">
      <c r="A544" t="s">
        <v>1691</v>
      </c>
      <c r="B544" t="s">
        <v>1692</v>
      </c>
      <c r="C544" s="2" t="s">
        <v>249</v>
      </c>
      <c r="E544">
        <v>50403.877999999997</v>
      </c>
      <c r="G544">
        <v>8.0000000000000002E-3</v>
      </c>
      <c r="I544" t="s">
        <v>1590</v>
      </c>
      <c r="J544" t="s">
        <v>1097</v>
      </c>
    </row>
    <row r="545" spans="1:10">
      <c r="A545" t="s">
        <v>1693</v>
      </c>
      <c r="B545" t="s">
        <v>1692</v>
      </c>
      <c r="C545" s="2" t="s">
        <v>251</v>
      </c>
      <c r="E545">
        <v>50555.224999999999</v>
      </c>
      <c r="G545">
        <v>2.7E-2</v>
      </c>
      <c r="I545" t="s">
        <v>1590</v>
      </c>
      <c r="J545" t="s">
        <v>1097</v>
      </c>
    </row>
    <row r="546" spans="1:10">
      <c r="A546" t="s">
        <v>1694</v>
      </c>
      <c r="B546" t="s">
        <v>1695</v>
      </c>
      <c r="C546" s="2" t="s">
        <v>250</v>
      </c>
      <c r="E546">
        <v>50584.639999999999</v>
      </c>
      <c r="G546">
        <v>0.04</v>
      </c>
      <c r="I546" t="s">
        <v>1590</v>
      </c>
      <c r="J546" t="s">
        <v>1684</v>
      </c>
    </row>
    <row r="547" spans="1:10">
      <c r="A547" t="s">
        <v>1694</v>
      </c>
      <c r="B547" t="s">
        <v>1695</v>
      </c>
      <c r="C547" s="2" t="s">
        <v>252</v>
      </c>
      <c r="E547">
        <v>50876.15</v>
      </c>
      <c r="G547">
        <v>0.03</v>
      </c>
      <c r="I547" t="s">
        <v>1590</v>
      </c>
      <c r="J547" t="s">
        <v>1684</v>
      </c>
    </row>
    <row r="548" spans="1:10">
      <c r="A548" t="s">
        <v>1696</v>
      </c>
      <c r="B548" t="s">
        <v>1697</v>
      </c>
      <c r="C548" s="2" t="s">
        <v>251</v>
      </c>
      <c r="E548">
        <v>52774.072999999997</v>
      </c>
      <c r="G548">
        <v>3.0000000000000001E-3</v>
      </c>
      <c r="I548" t="s">
        <v>1590</v>
      </c>
      <c r="J548" t="s">
        <v>1097</v>
      </c>
    </row>
    <row r="549" spans="1:10">
      <c r="A549" t="s">
        <v>1698</v>
      </c>
      <c r="B549" t="s">
        <v>1697</v>
      </c>
      <c r="C549" s="2" t="s">
        <v>252</v>
      </c>
      <c r="E549">
        <v>52947.955999999998</v>
      </c>
      <c r="G549">
        <v>4.0000000000000001E-3</v>
      </c>
      <c r="I549" t="s">
        <v>1590</v>
      </c>
      <c r="J549" t="s">
        <v>1097</v>
      </c>
    </row>
    <row r="550" spans="1:10">
      <c r="A550" t="s">
        <v>1699</v>
      </c>
      <c r="B550" t="s">
        <v>202</v>
      </c>
      <c r="C550" s="2" t="s">
        <v>203</v>
      </c>
      <c r="E550">
        <v>54411.67</v>
      </c>
      <c r="G550">
        <v>0.17</v>
      </c>
      <c r="I550" t="s">
        <v>1590</v>
      </c>
      <c r="J550" t="s">
        <v>1700</v>
      </c>
    </row>
    <row r="551" spans="1:10">
      <c r="B551" t="s">
        <v>1701</v>
      </c>
      <c r="C551" s="2" t="s">
        <v>250</v>
      </c>
      <c r="E551">
        <v>57561.39</v>
      </c>
      <c r="G551">
        <v>0.4</v>
      </c>
      <c r="I551" t="s">
        <v>1590</v>
      </c>
      <c r="J551" t="s">
        <v>1684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58B0-9D82-4B84-A147-B18BC2D270A0}">
  <dimension ref="A1:I300"/>
  <sheetViews>
    <sheetView tabSelected="1" workbookViewId="0"/>
  </sheetViews>
  <sheetFormatPr defaultRowHeight="15"/>
  <cols>
    <col min="1" max="1" width="21.140625" bestFit="1" customWidth="1"/>
    <col min="2" max="2" width="7.2851562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9" bestFit="1" customWidth="1"/>
    <col min="9" max="9" width="13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 t="s">
        <v>5132</v>
      </c>
      <c r="B2" t="s">
        <v>264</v>
      </c>
      <c r="C2">
        <v>0</v>
      </c>
      <c r="E2">
        <v>0</v>
      </c>
      <c r="G2">
        <v>6.0000000000000001E-3</v>
      </c>
      <c r="I2" t="s">
        <v>5133</v>
      </c>
    </row>
    <row r="3" spans="1:9">
      <c r="A3" t="s">
        <v>5134</v>
      </c>
      <c r="B3" t="s">
        <v>282</v>
      </c>
      <c r="C3">
        <v>0</v>
      </c>
      <c r="E3">
        <v>37644.982000000004</v>
      </c>
      <c r="G3">
        <v>8.9999999999999993E-3</v>
      </c>
    </row>
    <row r="4" spans="1:9">
      <c r="A4" t="s">
        <v>5134</v>
      </c>
      <c r="B4" t="s">
        <v>282</v>
      </c>
      <c r="C4">
        <v>1</v>
      </c>
      <c r="E4">
        <v>39412.237000000001</v>
      </c>
      <c r="G4">
        <v>7.0000000000000001E-3</v>
      </c>
      <c r="H4">
        <v>1.486094</v>
      </c>
    </row>
    <row r="5" spans="1:9">
      <c r="A5" t="s">
        <v>5134</v>
      </c>
      <c r="B5" t="s">
        <v>282</v>
      </c>
      <c r="C5">
        <v>2</v>
      </c>
      <c r="E5">
        <v>44042.909</v>
      </c>
      <c r="G5">
        <v>7.0000000000000001E-3</v>
      </c>
      <c r="H5">
        <v>1.5009999999999999</v>
      </c>
    </row>
    <row r="6" spans="1:9">
      <c r="A6" t="s">
        <v>5134</v>
      </c>
      <c r="B6" t="s">
        <v>303</v>
      </c>
      <c r="C6">
        <v>1</v>
      </c>
      <c r="E6">
        <v>54068.6829</v>
      </c>
      <c r="G6">
        <v>5.0000000000000001E-3</v>
      </c>
      <c r="H6">
        <v>1.0145299999999999</v>
      </c>
    </row>
    <row r="7" spans="1:9">
      <c r="A7" t="s">
        <v>5135</v>
      </c>
      <c r="B7" t="s">
        <v>509</v>
      </c>
      <c r="C7">
        <v>1</v>
      </c>
      <c r="E7">
        <v>62350.324999999997</v>
      </c>
      <c r="G7">
        <v>7.0000000000000001E-3</v>
      </c>
      <c r="H7">
        <v>2.00285</v>
      </c>
    </row>
    <row r="8" spans="1:9">
      <c r="A8" t="s">
        <v>5135</v>
      </c>
      <c r="B8" t="s">
        <v>264</v>
      </c>
      <c r="C8">
        <v>0</v>
      </c>
      <c r="E8">
        <v>63928.12</v>
      </c>
      <c r="G8">
        <v>8.0000000000000002E-3</v>
      </c>
    </row>
    <row r="9" spans="1:9">
      <c r="A9" t="s">
        <v>5136</v>
      </c>
      <c r="B9" t="s">
        <v>388</v>
      </c>
      <c r="C9">
        <v>2</v>
      </c>
      <c r="E9">
        <v>68886.429999999993</v>
      </c>
      <c r="G9">
        <v>0.05</v>
      </c>
    </row>
    <row r="10" spans="1:9">
      <c r="A10" t="s">
        <v>5136</v>
      </c>
      <c r="B10" t="s">
        <v>388</v>
      </c>
      <c r="C10">
        <v>1</v>
      </c>
      <c r="E10">
        <v>78813.02</v>
      </c>
      <c r="G10">
        <v>0.16</v>
      </c>
      <c r="H10">
        <v>1.2102999999999999</v>
      </c>
    </row>
    <row r="11" spans="1:9">
      <c r="A11" t="s">
        <v>5137</v>
      </c>
      <c r="B11" t="s">
        <v>282</v>
      </c>
      <c r="C11">
        <v>0</v>
      </c>
      <c r="E11">
        <v>69516.576000000001</v>
      </c>
      <c r="G11">
        <v>1.2999999999999999E-2</v>
      </c>
    </row>
    <row r="12" spans="1:9">
      <c r="A12" t="s">
        <v>5137</v>
      </c>
      <c r="B12" t="s">
        <v>282</v>
      </c>
      <c r="C12">
        <v>1</v>
      </c>
      <c r="E12">
        <v>69661.803</v>
      </c>
      <c r="G12">
        <v>0.02</v>
      </c>
    </row>
    <row r="13" spans="1:9">
      <c r="A13" t="s">
        <v>5137</v>
      </c>
      <c r="B13" t="s">
        <v>282</v>
      </c>
      <c r="C13">
        <v>2</v>
      </c>
      <c r="E13">
        <v>71207.296000000002</v>
      </c>
      <c r="G13">
        <v>1.0999999999999999E-2</v>
      </c>
    </row>
    <row r="14" spans="1:9">
      <c r="A14" t="s">
        <v>5136</v>
      </c>
      <c r="B14" t="s">
        <v>389</v>
      </c>
      <c r="C14">
        <v>3</v>
      </c>
      <c r="E14">
        <v>70932.2</v>
      </c>
      <c r="G14">
        <v>0.2</v>
      </c>
      <c r="H14">
        <v>1.0867</v>
      </c>
    </row>
    <row r="15" spans="1:9">
      <c r="A15" t="s">
        <v>5136</v>
      </c>
      <c r="B15" t="s">
        <v>389</v>
      </c>
      <c r="C15">
        <v>4</v>
      </c>
      <c r="E15">
        <v>76945.27</v>
      </c>
      <c r="G15">
        <v>0.06</v>
      </c>
    </row>
    <row r="16" spans="1:9">
      <c r="A16" t="s">
        <v>5137</v>
      </c>
      <c r="B16" t="s">
        <v>303</v>
      </c>
      <c r="C16">
        <v>1</v>
      </c>
      <c r="E16">
        <v>71294.86</v>
      </c>
      <c r="G16">
        <v>0.05</v>
      </c>
    </row>
    <row r="17" spans="1:8">
      <c r="A17" t="s">
        <v>5138</v>
      </c>
      <c r="B17" t="s">
        <v>259</v>
      </c>
      <c r="C17">
        <v>2</v>
      </c>
      <c r="E17">
        <v>71333.053</v>
      </c>
      <c r="G17">
        <v>6.0000000000000001E-3</v>
      </c>
      <c r="H17">
        <v>1.05803</v>
      </c>
    </row>
    <row r="18" spans="1:8">
      <c r="A18" t="s">
        <v>5138</v>
      </c>
      <c r="B18" t="s">
        <v>257</v>
      </c>
      <c r="C18">
        <v>1</v>
      </c>
      <c r="E18">
        <v>71336.005000000005</v>
      </c>
      <c r="G18">
        <v>8.9999999999999993E-3</v>
      </c>
      <c r="H18">
        <v>0.49864000000000003</v>
      </c>
    </row>
    <row r="19" spans="1:8">
      <c r="A19" t="s">
        <v>5138</v>
      </c>
      <c r="B19" t="s">
        <v>257</v>
      </c>
      <c r="C19">
        <v>2</v>
      </c>
      <c r="E19">
        <v>71396.073000000004</v>
      </c>
      <c r="G19">
        <v>6.0000000000000001E-3</v>
      </c>
      <c r="H19">
        <v>1.1090800000000001</v>
      </c>
    </row>
    <row r="20" spans="1:8">
      <c r="A20" t="s">
        <v>5138</v>
      </c>
      <c r="B20" t="s">
        <v>257</v>
      </c>
      <c r="C20">
        <v>3</v>
      </c>
      <c r="E20">
        <v>71431.179999999993</v>
      </c>
      <c r="G20">
        <v>0.01</v>
      </c>
      <c r="H20">
        <v>1.3343</v>
      </c>
    </row>
    <row r="21" spans="1:8">
      <c r="A21" t="s">
        <v>5139</v>
      </c>
      <c r="B21" t="s">
        <v>509</v>
      </c>
      <c r="C21">
        <v>1</v>
      </c>
      <c r="E21">
        <v>73961.134999999995</v>
      </c>
      <c r="G21">
        <v>8.9999999999999993E-3</v>
      </c>
      <c r="H21">
        <v>2.0037500000000001</v>
      </c>
    </row>
    <row r="22" spans="1:8">
      <c r="A22" t="s">
        <v>5139</v>
      </c>
      <c r="B22" t="s">
        <v>264</v>
      </c>
      <c r="C22">
        <v>0</v>
      </c>
      <c r="E22">
        <v>74404.56</v>
      </c>
      <c r="G22">
        <v>0.04</v>
      </c>
    </row>
    <row r="23" spans="1:8">
      <c r="A23" t="s">
        <v>5140</v>
      </c>
      <c r="B23" t="s">
        <v>282</v>
      </c>
      <c r="C23">
        <v>0</v>
      </c>
      <c r="E23">
        <v>76447.111999999994</v>
      </c>
      <c r="G23">
        <v>1.2E-2</v>
      </c>
    </row>
    <row r="24" spans="1:8">
      <c r="A24" t="s">
        <v>5140</v>
      </c>
      <c r="B24" t="s">
        <v>282</v>
      </c>
      <c r="C24">
        <v>1</v>
      </c>
      <c r="E24">
        <v>76466.936000000002</v>
      </c>
      <c r="G24">
        <v>1.2E-2</v>
      </c>
      <c r="H24">
        <v>1.4945999999999999</v>
      </c>
    </row>
    <row r="25" spans="1:8">
      <c r="A25" t="s">
        <v>5140</v>
      </c>
      <c r="B25" t="s">
        <v>282</v>
      </c>
      <c r="C25">
        <v>2</v>
      </c>
      <c r="E25">
        <v>76823.429999999993</v>
      </c>
      <c r="G25">
        <v>0.09</v>
      </c>
      <c r="H25">
        <v>1.4824999999999999</v>
      </c>
    </row>
    <row r="26" spans="1:8">
      <c r="A26" t="s">
        <v>5140</v>
      </c>
      <c r="B26" t="s">
        <v>303</v>
      </c>
      <c r="C26">
        <v>1</v>
      </c>
      <c r="E26">
        <v>76863.137000000002</v>
      </c>
      <c r="G26">
        <v>0.01</v>
      </c>
    </row>
    <row r="27" spans="1:8">
      <c r="A27" t="s">
        <v>5141</v>
      </c>
      <c r="B27" t="s">
        <v>259</v>
      </c>
      <c r="C27">
        <v>2</v>
      </c>
      <c r="E27">
        <v>77063.97</v>
      </c>
      <c r="G27">
        <v>7.0000000000000001E-3</v>
      </c>
      <c r="H27">
        <v>1.0219</v>
      </c>
    </row>
    <row r="28" spans="1:8">
      <c r="A28" t="s">
        <v>5141</v>
      </c>
      <c r="B28" t="s">
        <v>257</v>
      </c>
      <c r="C28">
        <v>1</v>
      </c>
      <c r="E28">
        <v>77084.42</v>
      </c>
      <c r="G28">
        <v>0.02</v>
      </c>
      <c r="H28">
        <v>0.49959999999999999</v>
      </c>
    </row>
    <row r="29" spans="1:8">
      <c r="A29" t="s">
        <v>5141</v>
      </c>
      <c r="B29" t="s">
        <v>257</v>
      </c>
      <c r="C29">
        <v>2</v>
      </c>
      <c r="E29">
        <v>77107.807000000001</v>
      </c>
      <c r="G29">
        <v>7.0000000000000001E-3</v>
      </c>
      <c r="H29">
        <v>1.1465000000000001</v>
      </c>
    </row>
    <row r="30" spans="1:8">
      <c r="A30" t="s">
        <v>5141</v>
      </c>
      <c r="B30" t="s">
        <v>257</v>
      </c>
      <c r="C30">
        <v>3</v>
      </c>
      <c r="E30">
        <v>77129.372000000003</v>
      </c>
      <c r="G30">
        <v>1.2999999999999999E-2</v>
      </c>
      <c r="H30">
        <v>1.3306</v>
      </c>
    </row>
    <row r="31" spans="1:8">
      <c r="A31" t="s">
        <v>5142</v>
      </c>
      <c r="B31" t="s">
        <v>283</v>
      </c>
      <c r="C31">
        <v>2</v>
      </c>
      <c r="E31">
        <v>77236.86</v>
      </c>
      <c r="G31">
        <v>0.08</v>
      </c>
    </row>
    <row r="32" spans="1:8">
      <c r="A32" t="s">
        <v>5142</v>
      </c>
      <c r="B32" t="s">
        <v>283</v>
      </c>
      <c r="C32">
        <v>3</v>
      </c>
      <c r="E32">
        <v>77239.06</v>
      </c>
      <c r="G32">
        <v>0.05</v>
      </c>
    </row>
    <row r="33" spans="1:8">
      <c r="A33" t="s">
        <v>5142</v>
      </c>
      <c r="B33" t="s">
        <v>283</v>
      </c>
      <c r="C33">
        <v>4</v>
      </c>
      <c r="E33">
        <v>77286.86</v>
      </c>
      <c r="G33">
        <v>7.0000000000000007E-2</v>
      </c>
    </row>
    <row r="34" spans="1:8">
      <c r="A34" t="s">
        <v>5142</v>
      </c>
      <c r="B34" t="s">
        <v>296</v>
      </c>
      <c r="C34">
        <v>3</v>
      </c>
      <c r="E34">
        <v>77241.509999999995</v>
      </c>
      <c r="G34">
        <v>0.06</v>
      </c>
    </row>
    <row r="35" spans="1:8">
      <c r="A35" t="s">
        <v>5143</v>
      </c>
      <c r="B35" t="s">
        <v>509</v>
      </c>
      <c r="C35">
        <v>1</v>
      </c>
      <c r="E35">
        <v>78216.12</v>
      </c>
      <c r="G35">
        <v>0.03</v>
      </c>
      <c r="H35">
        <v>2.0087999999999999</v>
      </c>
    </row>
    <row r="36" spans="1:8">
      <c r="A36" t="s">
        <v>5143</v>
      </c>
      <c r="B36" t="s">
        <v>264</v>
      </c>
      <c r="C36">
        <v>0</v>
      </c>
      <c r="E36">
        <v>78404.240000000005</v>
      </c>
      <c r="G36">
        <v>0.05</v>
      </c>
    </row>
    <row r="37" spans="1:8">
      <c r="A37" t="s">
        <v>5136</v>
      </c>
      <c r="B37" t="s">
        <v>390</v>
      </c>
      <c r="C37">
        <v>2</v>
      </c>
      <c r="E37">
        <v>78677.009999999995</v>
      </c>
      <c r="G37">
        <v>0.15</v>
      </c>
      <c r="H37">
        <v>1.117</v>
      </c>
    </row>
    <row r="38" spans="1:8">
      <c r="A38" t="s">
        <v>5136</v>
      </c>
      <c r="B38" t="s">
        <v>390</v>
      </c>
      <c r="C38">
        <v>3</v>
      </c>
      <c r="E38">
        <v>80127.5</v>
      </c>
      <c r="G38">
        <v>0.2</v>
      </c>
    </row>
    <row r="39" spans="1:8">
      <c r="A39" t="s">
        <v>5144</v>
      </c>
      <c r="B39" t="s">
        <v>282</v>
      </c>
      <c r="C39">
        <v>0</v>
      </c>
      <c r="E39">
        <v>79375.652000000002</v>
      </c>
      <c r="G39">
        <v>1.6E-2</v>
      </c>
    </row>
    <row r="40" spans="1:8">
      <c r="A40" t="s">
        <v>5144</v>
      </c>
      <c r="B40" t="s">
        <v>282</v>
      </c>
      <c r="C40">
        <v>1</v>
      </c>
      <c r="E40">
        <v>79412.615000000005</v>
      </c>
      <c r="G40">
        <v>1.6E-2</v>
      </c>
    </row>
    <row r="41" spans="1:8">
      <c r="A41" t="s">
        <v>5144</v>
      </c>
      <c r="B41" t="s">
        <v>282</v>
      </c>
      <c r="C41">
        <v>2</v>
      </c>
      <c r="E41">
        <v>79611.7</v>
      </c>
      <c r="G41">
        <v>1.4</v>
      </c>
    </row>
    <row r="42" spans="1:8">
      <c r="A42" t="s">
        <v>5145</v>
      </c>
      <c r="B42" t="s">
        <v>259</v>
      </c>
      <c r="C42">
        <v>2</v>
      </c>
      <c r="E42">
        <v>79660.56</v>
      </c>
      <c r="G42">
        <v>0.04</v>
      </c>
      <c r="H42">
        <v>1.028</v>
      </c>
    </row>
    <row r="43" spans="1:8">
      <c r="A43" t="s">
        <v>5145</v>
      </c>
      <c r="B43" t="s">
        <v>257</v>
      </c>
      <c r="C43">
        <v>1</v>
      </c>
      <c r="E43">
        <v>79678.570000000007</v>
      </c>
      <c r="G43">
        <v>0.03</v>
      </c>
    </row>
    <row r="44" spans="1:8">
      <c r="A44" t="s">
        <v>5145</v>
      </c>
      <c r="B44" t="s">
        <v>257</v>
      </c>
      <c r="C44">
        <v>2</v>
      </c>
      <c r="E44">
        <v>79690.16</v>
      </c>
      <c r="G44">
        <v>0.03</v>
      </c>
    </row>
    <row r="45" spans="1:8">
      <c r="A45" t="s">
        <v>5145</v>
      </c>
      <c r="B45" t="s">
        <v>257</v>
      </c>
      <c r="C45">
        <v>3</v>
      </c>
      <c r="E45">
        <v>79702.53</v>
      </c>
      <c r="G45">
        <v>0.03</v>
      </c>
    </row>
    <row r="46" spans="1:8">
      <c r="A46" t="s">
        <v>5146</v>
      </c>
      <c r="B46" t="s">
        <v>283</v>
      </c>
      <c r="C46">
        <v>3</v>
      </c>
      <c r="E46">
        <v>79743.600000000006</v>
      </c>
      <c r="G46">
        <v>0.3</v>
      </c>
    </row>
    <row r="47" spans="1:8">
      <c r="A47" t="s">
        <v>5146</v>
      </c>
      <c r="B47" t="s">
        <v>283</v>
      </c>
      <c r="C47">
        <v>2</v>
      </c>
      <c r="E47">
        <v>79743.7</v>
      </c>
      <c r="G47">
        <v>0.2</v>
      </c>
    </row>
    <row r="48" spans="1:8">
      <c r="A48" t="s">
        <v>5146</v>
      </c>
      <c r="B48" t="s">
        <v>283</v>
      </c>
      <c r="C48">
        <v>4</v>
      </c>
      <c r="E48">
        <v>79748.600000000006</v>
      </c>
      <c r="G48">
        <v>0.3</v>
      </c>
    </row>
    <row r="49" spans="1:7">
      <c r="A49" t="s">
        <v>5146</v>
      </c>
      <c r="B49" t="s">
        <v>296</v>
      </c>
      <c r="C49">
        <v>3</v>
      </c>
      <c r="E49">
        <v>79744.399999999994</v>
      </c>
      <c r="G49">
        <v>0.3</v>
      </c>
    </row>
    <row r="50" spans="1:7">
      <c r="A50" t="s">
        <v>5147</v>
      </c>
      <c r="B50" t="s">
        <v>511</v>
      </c>
      <c r="C50">
        <v>4</v>
      </c>
      <c r="E50">
        <v>79783.960000000006</v>
      </c>
      <c r="G50">
        <v>0.06</v>
      </c>
    </row>
    <row r="51" spans="1:7">
      <c r="A51" t="s">
        <v>5147</v>
      </c>
      <c r="B51" t="s">
        <v>511</v>
      </c>
      <c r="C51">
        <v>5</v>
      </c>
      <c r="E51">
        <v>79788</v>
      </c>
      <c r="G51">
        <v>6</v>
      </c>
    </row>
    <row r="52" spans="1:7">
      <c r="A52" t="s">
        <v>5147</v>
      </c>
      <c r="B52" t="s">
        <v>269</v>
      </c>
      <c r="C52">
        <v>4</v>
      </c>
      <c r="E52">
        <v>79784</v>
      </c>
      <c r="G52">
        <v>6</v>
      </c>
    </row>
    <row r="53" spans="1:7">
      <c r="A53" t="s">
        <v>5144</v>
      </c>
      <c r="B53" t="s">
        <v>303</v>
      </c>
      <c r="C53">
        <v>1</v>
      </c>
      <c r="E53">
        <v>79963.850000000006</v>
      </c>
      <c r="G53">
        <v>0.15</v>
      </c>
    </row>
    <row r="54" spans="1:7">
      <c r="A54" t="s">
        <v>5148</v>
      </c>
      <c r="B54" t="s">
        <v>509</v>
      </c>
      <c r="C54">
        <v>1</v>
      </c>
      <c r="E54">
        <v>80267.97</v>
      </c>
      <c r="G54">
        <v>0.03</v>
      </c>
    </row>
    <row r="55" spans="1:7">
      <c r="A55" t="s">
        <v>5148</v>
      </c>
      <c r="B55" t="s">
        <v>264</v>
      </c>
      <c r="C55">
        <v>0</v>
      </c>
      <c r="E55">
        <v>80365.528000000006</v>
      </c>
      <c r="G55">
        <v>8.9999999999999993E-3</v>
      </c>
    </row>
    <row r="56" spans="1:7">
      <c r="A56" t="s">
        <v>5149</v>
      </c>
      <c r="B56" t="s">
        <v>282</v>
      </c>
      <c r="C56">
        <v>0</v>
      </c>
      <c r="E56">
        <v>80902.138999999996</v>
      </c>
      <c r="G56">
        <v>1.9E-2</v>
      </c>
    </row>
    <row r="57" spans="1:7">
      <c r="A57" t="s">
        <v>5149</v>
      </c>
      <c r="B57" t="s">
        <v>282</v>
      </c>
      <c r="C57">
        <v>1</v>
      </c>
      <c r="E57">
        <v>80916.551000000007</v>
      </c>
      <c r="G57">
        <v>1.7999999999999999E-2</v>
      </c>
    </row>
    <row r="58" spans="1:7">
      <c r="A58" t="s">
        <v>5149</v>
      </c>
      <c r="B58" t="s">
        <v>282</v>
      </c>
      <c r="C58">
        <v>2</v>
      </c>
      <c r="E58">
        <v>81022.63</v>
      </c>
      <c r="G58">
        <v>0.05</v>
      </c>
    </row>
    <row r="59" spans="1:7">
      <c r="A59" t="s">
        <v>5150</v>
      </c>
      <c r="B59" t="s">
        <v>259</v>
      </c>
      <c r="C59">
        <v>2</v>
      </c>
      <c r="E59">
        <v>81057.637000000002</v>
      </c>
      <c r="G59">
        <v>8.9999999999999993E-3</v>
      </c>
    </row>
    <row r="60" spans="1:7">
      <c r="A60" t="s">
        <v>5150</v>
      </c>
      <c r="B60" t="s">
        <v>257</v>
      </c>
      <c r="C60">
        <v>1</v>
      </c>
      <c r="E60">
        <v>81070.960000000006</v>
      </c>
      <c r="G60">
        <v>0.05</v>
      </c>
    </row>
    <row r="61" spans="1:7">
      <c r="A61" t="s">
        <v>5150</v>
      </c>
      <c r="B61" t="s">
        <v>257</v>
      </c>
      <c r="C61">
        <v>2</v>
      </c>
      <c r="E61">
        <v>81077.45</v>
      </c>
      <c r="G61">
        <v>0.14000000000000001</v>
      </c>
    </row>
    <row r="62" spans="1:7">
      <c r="A62" t="s">
        <v>5150</v>
      </c>
      <c r="B62" t="s">
        <v>257</v>
      </c>
      <c r="C62">
        <v>3</v>
      </c>
      <c r="E62">
        <v>81084.960000000006</v>
      </c>
      <c r="G62">
        <v>0.11</v>
      </c>
    </row>
    <row r="63" spans="1:7">
      <c r="A63" t="s">
        <v>5151</v>
      </c>
      <c r="B63" t="s">
        <v>283</v>
      </c>
      <c r="C63">
        <v>2</v>
      </c>
      <c r="E63">
        <v>81103.600000000006</v>
      </c>
      <c r="G63">
        <v>0.3</v>
      </c>
    </row>
    <row r="64" spans="1:7">
      <c r="A64" t="s">
        <v>5151</v>
      </c>
      <c r="B64" t="s">
        <v>283</v>
      </c>
      <c r="C64">
        <v>3</v>
      </c>
      <c r="E64">
        <v>81105.399999999994</v>
      </c>
      <c r="G64">
        <v>0.2</v>
      </c>
    </row>
    <row r="65" spans="1:7">
      <c r="A65" t="s">
        <v>5151</v>
      </c>
      <c r="B65" t="s">
        <v>283</v>
      </c>
      <c r="C65">
        <v>4</v>
      </c>
      <c r="E65">
        <v>81106.7</v>
      </c>
      <c r="G65">
        <v>0.4</v>
      </c>
    </row>
    <row r="66" spans="1:7">
      <c r="A66" t="s">
        <v>5151</v>
      </c>
      <c r="B66" t="s">
        <v>296</v>
      </c>
      <c r="C66">
        <v>3</v>
      </c>
      <c r="E66">
        <v>81106</v>
      </c>
      <c r="G66">
        <v>0.5</v>
      </c>
    </row>
    <row r="67" spans="1:7">
      <c r="A67" t="s">
        <v>5152</v>
      </c>
      <c r="B67" t="s">
        <v>511</v>
      </c>
      <c r="C67">
        <v>5</v>
      </c>
      <c r="E67">
        <v>81112</v>
      </c>
      <c r="G67">
        <v>6</v>
      </c>
    </row>
    <row r="68" spans="1:7">
      <c r="A68" t="s">
        <v>5152</v>
      </c>
      <c r="B68" t="s">
        <v>511</v>
      </c>
      <c r="C68">
        <v>4</v>
      </c>
      <c r="E68">
        <v>81125</v>
      </c>
      <c r="G68">
        <v>2</v>
      </c>
    </row>
    <row r="69" spans="1:7">
      <c r="A69" t="s">
        <v>5152</v>
      </c>
      <c r="B69" t="s">
        <v>269</v>
      </c>
      <c r="C69">
        <v>4</v>
      </c>
      <c r="E69">
        <v>81126</v>
      </c>
      <c r="G69">
        <v>2</v>
      </c>
    </row>
    <row r="70" spans="1:7">
      <c r="A70" t="s">
        <v>5149</v>
      </c>
      <c r="B70" t="s">
        <v>303</v>
      </c>
      <c r="C70">
        <v>1</v>
      </c>
      <c r="E70">
        <v>81153.485000000001</v>
      </c>
      <c r="G70">
        <v>1.2999999999999999E-2</v>
      </c>
    </row>
    <row r="71" spans="1:7">
      <c r="A71" t="s">
        <v>5153</v>
      </c>
      <c r="B71" t="s">
        <v>509</v>
      </c>
      <c r="C71">
        <v>1</v>
      </c>
      <c r="E71">
        <v>81416.17</v>
      </c>
      <c r="G71">
        <v>0.12</v>
      </c>
    </row>
    <row r="72" spans="1:7">
      <c r="A72" t="s">
        <v>5153</v>
      </c>
      <c r="B72" t="s">
        <v>264</v>
      </c>
      <c r="C72">
        <v>0</v>
      </c>
      <c r="E72">
        <v>81473.399999999994</v>
      </c>
      <c r="G72">
        <v>0.3</v>
      </c>
    </row>
    <row r="73" spans="1:7">
      <c r="A73" t="s">
        <v>5154</v>
      </c>
      <c r="B73" t="s">
        <v>282</v>
      </c>
      <c r="C73">
        <v>0</v>
      </c>
      <c r="E73">
        <v>81800.429999999993</v>
      </c>
      <c r="G73">
        <v>0.05</v>
      </c>
    </row>
    <row r="74" spans="1:7">
      <c r="A74" t="s">
        <v>5154</v>
      </c>
      <c r="B74" t="s">
        <v>282</v>
      </c>
      <c r="C74">
        <v>1</v>
      </c>
      <c r="E74">
        <v>81807.95</v>
      </c>
      <c r="G74">
        <v>0.02</v>
      </c>
    </row>
    <row r="75" spans="1:7">
      <c r="A75" t="s">
        <v>5154</v>
      </c>
      <c r="B75" t="s">
        <v>282</v>
      </c>
      <c r="C75">
        <v>2</v>
      </c>
      <c r="E75">
        <v>81873.703999999998</v>
      </c>
      <c r="G75">
        <v>0.02</v>
      </c>
    </row>
    <row r="76" spans="1:7">
      <c r="A76" t="s">
        <v>5155</v>
      </c>
      <c r="B76" t="s">
        <v>259</v>
      </c>
      <c r="C76">
        <v>2</v>
      </c>
      <c r="E76">
        <v>81894.59</v>
      </c>
      <c r="G76">
        <v>0.18</v>
      </c>
    </row>
    <row r="77" spans="1:7">
      <c r="A77" t="s">
        <v>5155</v>
      </c>
      <c r="B77" t="s">
        <v>257</v>
      </c>
      <c r="C77">
        <v>1</v>
      </c>
      <c r="E77">
        <v>81904</v>
      </c>
      <c r="G77">
        <v>0.3</v>
      </c>
    </row>
    <row r="78" spans="1:7">
      <c r="A78" t="s">
        <v>5155</v>
      </c>
      <c r="B78" t="s">
        <v>257</v>
      </c>
      <c r="C78">
        <v>2</v>
      </c>
      <c r="E78">
        <v>81908.2</v>
      </c>
      <c r="G78">
        <v>0.16</v>
      </c>
    </row>
    <row r="79" spans="1:7">
      <c r="A79" t="s">
        <v>5155</v>
      </c>
      <c r="B79" t="s">
        <v>257</v>
      </c>
      <c r="C79">
        <v>3</v>
      </c>
      <c r="E79">
        <v>81913.55</v>
      </c>
      <c r="G79">
        <v>0.09</v>
      </c>
    </row>
    <row r="80" spans="1:7">
      <c r="A80" t="s">
        <v>5156</v>
      </c>
      <c r="B80" t="s">
        <v>283</v>
      </c>
      <c r="C80">
        <v>2</v>
      </c>
      <c r="E80">
        <v>81923.100000000006</v>
      </c>
      <c r="G80">
        <v>0.3</v>
      </c>
    </row>
    <row r="81" spans="1:7">
      <c r="A81" t="s">
        <v>5156</v>
      </c>
      <c r="B81" t="s">
        <v>283</v>
      </c>
      <c r="C81">
        <v>3</v>
      </c>
      <c r="E81">
        <v>81923.899999999994</v>
      </c>
      <c r="G81">
        <v>0.3</v>
      </c>
    </row>
    <row r="82" spans="1:7">
      <c r="A82" t="s">
        <v>5156</v>
      </c>
      <c r="B82" t="s">
        <v>283</v>
      </c>
      <c r="C82">
        <v>4</v>
      </c>
      <c r="E82">
        <v>81925.7</v>
      </c>
      <c r="G82">
        <v>0.3</v>
      </c>
    </row>
    <row r="83" spans="1:7">
      <c r="A83" t="s">
        <v>5156</v>
      </c>
      <c r="B83" t="s">
        <v>296</v>
      </c>
      <c r="C83">
        <v>3</v>
      </c>
      <c r="E83">
        <v>81925</v>
      </c>
      <c r="G83">
        <v>0.4</v>
      </c>
    </row>
    <row r="84" spans="1:7">
      <c r="A84" t="s">
        <v>5157</v>
      </c>
      <c r="B84" t="s">
        <v>269</v>
      </c>
      <c r="C84">
        <v>4</v>
      </c>
      <c r="E84">
        <v>81936</v>
      </c>
      <c r="G84">
        <v>2</v>
      </c>
    </row>
    <row r="85" spans="1:7">
      <c r="A85" t="s">
        <v>5157</v>
      </c>
      <c r="B85" t="s">
        <v>511</v>
      </c>
      <c r="C85">
        <v>4</v>
      </c>
      <c r="E85">
        <v>81936</v>
      </c>
      <c r="G85">
        <v>2</v>
      </c>
    </row>
    <row r="86" spans="1:7">
      <c r="A86" t="s">
        <v>5154</v>
      </c>
      <c r="B86" t="s">
        <v>303</v>
      </c>
      <c r="C86">
        <v>1</v>
      </c>
      <c r="E86">
        <v>81942.317999999999</v>
      </c>
      <c r="G86">
        <v>1.4E-2</v>
      </c>
    </row>
    <row r="87" spans="1:7">
      <c r="A87" t="s">
        <v>5158</v>
      </c>
      <c r="B87" t="s">
        <v>509</v>
      </c>
      <c r="C87">
        <v>1</v>
      </c>
      <c r="E87">
        <v>82123.98</v>
      </c>
      <c r="G87">
        <v>0.08</v>
      </c>
    </row>
    <row r="88" spans="1:7">
      <c r="A88" t="s">
        <v>5158</v>
      </c>
      <c r="B88" t="s">
        <v>264</v>
      </c>
      <c r="C88">
        <v>0</v>
      </c>
      <c r="E88">
        <v>82160.570000000007</v>
      </c>
      <c r="G88">
        <v>0.18</v>
      </c>
    </row>
    <row r="89" spans="1:7">
      <c r="A89" t="s">
        <v>5159</v>
      </c>
      <c r="B89" t="s">
        <v>282</v>
      </c>
      <c r="C89">
        <v>0</v>
      </c>
      <c r="E89">
        <v>82374.399999999994</v>
      </c>
      <c r="G89">
        <v>0.05</v>
      </c>
    </row>
    <row r="90" spans="1:7">
      <c r="A90" t="s">
        <v>5159</v>
      </c>
      <c r="B90" t="s">
        <v>282</v>
      </c>
      <c r="C90">
        <v>1</v>
      </c>
      <c r="E90">
        <v>82378.38</v>
      </c>
      <c r="G90">
        <v>0.05</v>
      </c>
    </row>
    <row r="91" spans="1:7">
      <c r="A91" t="s">
        <v>5159</v>
      </c>
      <c r="B91" t="s">
        <v>282</v>
      </c>
      <c r="C91">
        <v>2</v>
      </c>
      <c r="E91">
        <v>82422.47</v>
      </c>
      <c r="G91">
        <v>0.02</v>
      </c>
    </row>
    <row r="92" spans="1:7">
      <c r="A92" t="s">
        <v>5160</v>
      </c>
      <c r="B92" t="s">
        <v>259</v>
      </c>
      <c r="C92">
        <v>2</v>
      </c>
      <c r="E92">
        <v>82435.7</v>
      </c>
      <c r="G92">
        <v>0.3</v>
      </c>
    </row>
    <row r="93" spans="1:7">
      <c r="A93" t="s">
        <v>5160</v>
      </c>
      <c r="B93" t="s">
        <v>257</v>
      </c>
      <c r="C93">
        <v>1</v>
      </c>
      <c r="E93">
        <v>82443.100000000006</v>
      </c>
      <c r="G93">
        <v>0.09</v>
      </c>
    </row>
    <row r="94" spans="1:7">
      <c r="A94" t="s">
        <v>5160</v>
      </c>
      <c r="B94" t="s">
        <v>257</v>
      </c>
      <c r="C94">
        <v>2</v>
      </c>
      <c r="E94">
        <v>82445.399999999994</v>
      </c>
      <c r="G94">
        <v>0.2</v>
      </c>
    </row>
    <row r="95" spans="1:7">
      <c r="A95" t="s">
        <v>5160</v>
      </c>
      <c r="B95" t="s">
        <v>257</v>
      </c>
      <c r="C95">
        <v>3</v>
      </c>
      <c r="E95">
        <v>82448.7</v>
      </c>
      <c r="G95">
        <v>0.4</v>
      </c>
    </row>
    <row r="96" spans="1:7">
      <c r="A96" t="s">
        <v>5161</v>
      </c>
      <c r="B96" t="s">
        <v>296</v>
      </c>
      <c r="C96">
        <v>3</v>
      </c>
      <c r="E96">
        <v>82455.100000000006</v>
      </c>
      <c r="G96">
        <v>0.5</v>
      </c>
    </row>
    <row r="97" spans="1:7">
      <c r="A97" t="s">
        <v>5161</v>
      </c>
      <c r="B97" t="s">
        <v>283</v>
      </c>
      <c r="C97">
        <v>2</v>
      </c>
      <c r="E97">
        <v>82455.199999999997</v>
      </c>
      <c r="G97">
        <v>0.4</v>
      </c>
    </row>
    <row r="98" spans="1:7">
      <c r="A98" t="s">
        <v>5161</v>
      </c>
      <c r="B98" t="s">
        <v>283</v>
      </c>
      <c r="C98">
        <v>3</v>
      </c>
      <c r="E98">
        <v>82456</v>
      </c>
      <c r="G98">
        <v>0.4</v>
      </c>
    </row>
    <row r="99" spans="1:7">
      <c r="A99" t="s">
        <v>5161</v>
      </c>
      <c r="B99" t="s">
        <v>283</v>
      </c>
      <c r="C99">
        <v>4</v>
      </c>
      <c r="E99">
        <v>82456.7</v>
      </c>
      <c r="G99">
        <v>0.5</v>
      </c>
    </row>
    <row r="100" spans="1:7">
      <c r="A100" t="s">
        <v>5159</v>
      </c>
      <c r="B100" t="s">
        <v>303</v>
      </c>
      <c r="C100">
        <v>1</v>
      </c>
      <c r="E100">
        <v>82463.922999999995</v>
      </c>
      <c r="G100">
        <v>1.6E-2</v>
      </c>
    </row>
    <row r="101" spans="1:7">
      <c r="A101" t="s">
        <v>5162</v>
      </c>
      <c r="B101" t="s">
        <v>269</v>
      </c>
      <c r="C101">
        <v>4</v>
      </c>
      <c r="E101">
        <v>82468</v>
      </c>
      <c r="G101">
        <v>2</v>
      </c>
    </row>
    <row r="102" spans="1:7">
      <c r="A102" t="s">
        <v>5162</v>
      </c>
      <c r="B102" t="s">
        <v>511</v>
      </c>
      <c r="C102">
        <v>4</v>
      </c>
      <c r="E102">
        <v>82468</v>
      </c>
      <c r="G102">
        <v>2</v>
      </c>
    </row>
    <row r="103" spans="1:7">
      <c r="A103" t="s">
        <v>5163</v>
      </c>
      <c r="B103" t="s">
        <v>509</v>
      </c>
      <c r="C103">
        <v>1</v>
      </c>
      <c r="E103">
        <v>82590.86</v>
      </c>
      <c r="G103">
        <v>0.2</v>
      </c>
    </row>
    <row r="104" spans="1:7">
      <c r="A104" t="s">
        <v>5163</v>
      </c>
      <c r="B104" t="s">
        <v>264</v>
      </c>
      <c r="C104">
        <v>0</v>
      </c>
      <c r="E104">
        <v>82615.7</v>
      </c>
      <c r="G104">
        <v>0.2</v>
      </c>
    </row>
    <row r="105" spans="1:7">
      <c r="A105" t="s">
        <v>5164</v>
      </c>
      <c r="B105" t="s">
        <v>282</v>
      </c>
      <c r="C105">
        <v>0</v>
      </c>
      <c r="E105">
        <v>82763.28</v>
      </c>
      <c r="G105">
        <v>0.05</v>
      </c>
    </row>
    <row r="106" spans="1:7">
      <c r="A106" t="s">
        <v>5164</v>
      </c>
      <c r="B106" t="s">
        <v>282</v>
      </c>
      <c r="C106">
        <v>1</v>
      </c>
      <c r="E106">
        <v>82765.67</v>
      </c>
      <c r="G106">
        <v>0.05</v>
      </c>
    </row>
    <row r="107" spans="1:7">
      <c r="A107" t="s">
        <v>5164</v>
      </c>
      <c r="B107" t="s">
        <v>282</v>
      </c>
      <c r="C107">
        <v>2</v>
      </c>
      <c r="E107">
        <v>82796.649999999994</v>
      </c>
      <c r="G107">
        <v>0.05</v>
      </c>
    </row>
    <row r="108" spans="1:7">
      <c r="A108" t="s">
        <v>5165</v>
      </c>
      <c r="B108" t="s">
        <v>259</v>
      </c>
      <c r="C108">
        <v>2</v>
      </c>
      <c r="E108">
        <v>82805.179999999993</v>
      </c>
      <c r="G108">
        <v>0.3</v>
      </c>
    </row>
    <row r="109" spans="1:7">
      <c r="A109" t="s">
        <v>5165</v>
      </c>
      <c r="B109" t="s">
        <v>257</v>
      </c>
      <c r="C109">
        <v>1</v>
      </c>
      <c r="E109">
        <v>82811</v>
      </c>
      <c r="G109">
        <v>0.4</v>
      </c>
    </row>
    <row r="110" spans="1:7">
      <c r="A110" t="s">
        <v>5165</v>
      </c>
      <c r="B110" t="s">
        <v>257</v>
      </c>
      <c r="C110">
        <v>2</v>
      </c>
      <c r="E110">
        <v>82812.320000000007</v>
      </c>
      <c r="G110">
        <v>0.2</v>
      </c>
    </row>
    <row r="111" spans="1:7">
      <c r="A111" t="s">
        <v>5165</v>
      </c>
      <c r="B111" t="s">
        <v>257</v>
      </c>
      <c r="C111">
        <v>3</v>
      </c>
      <c r="E111">
        <v>82814.5</v>
      </c>
      <c r="G111">
        <v>0.5</v>
      </c>
    </row>
    <row r="112" spans="1:7">
      <c r="A112" t="s">
        <v>5166</v>
      </c>
      <c r="B112" t="s">
        <v>296</v>
      </c>
      <c r="C112">
        <v>3</v>
      </c>
      <c r="E112">
        <v>82818.5</v>
      </c>
      <c r="G112">
        <v>0.6</v>
      </c>
    </row>
    <row r="113" spans="1:7">
      <c r="A113" t="s">
        <v>5166</v>
      </c>
      <c r="B113" t="s">
        <v>283</v>
      </c>
      <c r="C113">
        <v>2</v>
      </c>
      <c r="E113">
        <v>82818.600000000006</v>
      </c>
      <c r="G113">
        <v>0.5</v>
      </c>
    </row>
    <row r="114" spans="1:7">
      <c r="A114" t="s">
        <v>5166</v>
      </c>
      <c r="B114" t="s">
        <v>283</v>
      </c>
      <c r="C114">
        <v>3</v>
      </c>
      <c r="E114">
        <v>82818.899999999994</v>
      </c>
      <c r="G114">
        <v>0.5</v>
      </c>
    </row>
    <row r="115" spans="1:7">
      <c r="A115" t="s">
        <v>5166</v>
      </c>
      <c r="B115" t="s">
        <v>283</v>
      </c>
      <c r="C115">
        <v>4</v>
      </c>
      <c r="E115">
        <v>82819.399999999994</v>
      </c>
      <c r="G115">
        <v>0.5</v>
      </c>
    </row>
    <row r="116" spans="1:7">
      <c r="A116" t="s">
        <v>5164</v>
      </c>
      <c r="B116" t="s">
        <v>303</v>
      </c>
      <c r="C116">
        <v>1</v>
      </c>
      <c r="E116">
        <v>82823.816000000006</v>
      </c>
      <c r="G116">
        <v>1.4999999999999999E-2</v>
      </c>
    </row>
    <row r="117" spans="1:7">
      <c r="A117" t="s">
        <v>5167</v>
      </c>
      <c r="B117" t="s">
        <v>269</v>
      </c>
      <c r="C117">
        <v>4</v>
      </c>
      <c r="E117">
        <v>82832</v>
      </c>
      <c r="G117">
        <v>2</v>
      </c>
    </row>
    <row r="118" spans="1:7">
      <c r="A118" t="s">
        <v>5167</v>
      </c>
      <c r="B118" t="s">
        <v>511</v>
      </c>
      <c r="C118">
        <v>4</v>
      </c>
      <c r="E118">
        <v>82832</v>
      </c>
      <c r="G118">
        <v>2</v>
      </c>
    </row>
    <row r="119" spans="1:7">
      <c r="A119" t="s">
        <v>5168</v>
      </c>
      <c r="B119" t="s">
        <v>509</v>
      </c>
      <c r="C119">
        <v>1</v>
      </c>
      <c r="E119">
        <v>82915.399999999994</v>
      </c>
      <c r="G119">
        <v>0.2</v>
      </c>
    </row>
    <row r="120" spans="1:7">
      <c r="A120" t="s">
        <v>5168</v>
      </c>
      <c r="B120" t="s">
        <v>264</v>
      </c>
      <c r="C120">
        <v>0</v>
      </c>
      <c r="E120">
        <v>82932.899999999994</v>
      </c>
      <c r="G120">
        <v>0.3</v>
      </c>
    </row>
    <row r="121" spans="1:7">
      <c r="A121" t="s">
        <v>5169</v>
      </c>
      <c r="B121" t="s">
        <v>282</v>
      </c>
      <c r="C121">
        <v>0</v>
      </c>
      <c r="E121">
        <v>83038.89</v>
      </c>
      <c r="G121">
        <v>0.05</v>
      </c>
    </row>
    <row r="122" spans="1:7">
      <c r="A122" t="s">
        <v>5169</v>
      </c>
      <c r="B122" t="s">
        <v>282</v>
      </c>
      <c r="C122">
        <v>1</v>
      </c>
      <c r="E122">
        <v>83040.429999999993</v>
      </c>
      <c r="G122">
        <v>0.05</v>
      </c>
    </row>
    <row r="123" spans="1:7">
      <c r="A123" t="s">
        <v>5169</v>
      </c>
      <c r="B123" t="s">
        <v>282</v>
      </c>
      <c r="C123">
        <v>2</v>
      </c>
      <c r="E123">
        <v>83063.08</v>
      </c>
      <c r="G123">
        <v>0.05</v>
      </c>
    </row>
    <row r="124" spans="1:7">
      <c r="A124" t="s">
        <v>5170</v>
      </c>
      <c r="B124" t="s">
        <v>259</v>
      </c>
      <c r="C124">
        <v>2</v>
      </c>
      <c r="E124">
        <v>83068.899999999994</v>
      </c>
      <c r="G124">
        <v>0.19</v>
      </c>
    </row>
    <row r="125" spans="1:7">
      <c r="A125" t="s">
        <v>5170</v>
      </c>
      <c r="B125" t="s">
        <v>257</v>
      </c>
      <c r="C125">
        <v>1</v>
      </c>
      <c r="E125">
        <v>83073.399999999994</v>
      </c>
      <c r="G125">
        <v>0.3</v>
      </c>
    </row>
    <row r="126" spans="1:7">
      <c r="A126" t="s">
        <v>5170</v>
      </c>
      <c r="B126" t="s">
        <v>257</v>
      </c>
      <c r="C126">
        <v>2</v>
      </c>
      <c r="E126">
        <v>83074</v>
      </c>
      <c r="G126">
        <v>0.2</v>
      </c>
    </row>
    <row r="127" spans="1:7">
      <c r="A127" t="s">
        <v>5170</v>
      </c>
      <c r="B127" t="s">
        <v>257</v>
      </c>
      <c r="C127">
        <v>3</v>
      </c>
      <c r="E127">
        <v>83075.899999999994</v>
      </c>
      <c r="G127">
        <v>0.3</v>
      </c>
    </row>
    <row r="128" spans="1:7">
      <c r="A128" t="s">
        <v>5171</v>
      </c>
      <c r="B128" t="s">
        <v>283</v>
      </c>
      <c r="C128">
        <v>2</v>
      </c>
      <c r="E128">
        <v>83078.8</v>
      </c>
      <c r="G128">
        <v>0.4</v>
      </c>
    </row>
    <row r="129" spans="1:7">
      <c r="A129" t="s">
        <v>5171</v>
      </c>
      <c r="B129" t="s">
        <v>283</v>
      </c>
      <c r="C129">
        <v>3</v>
      </c>
      <c r="E129">
        <v>83078.8</v>
      </c>
      <c r="G129">
        <v>0.4</v>
      </c>
    </row>
    <row r="130" spans="1:7">
      <c r="A130" t="s">
        <v>5171</v>
      </c>
      <c r="B130" t="s">
        <v>283</v>
      </c>
      <c r="C130">
        <v>4</v>
      </c>
      <c r="E130">
        <v>83079.600000000006</v>
      </c>
      <c r="G130">
        <v>0.5</v>
      </c>
    </row>
    <row r="131" spans="1:7">
      <c r="A131" t="s">
        <v>5171</v>
      </c>
      <c r="B131" t="s">
        <v>296</v>
      </c>
      <c r="C131">
        <v>3</v>
      </c>
      <c r="E131">
        <v>83079.3</v>
      </c>
      <c r="G131">
        <v>0.4</v>
      </c>
    </row>
    <row r="132" spans="1:7">
      <c r="A132" t="s">
        <v>5169</v>
      </c>
      <c r="B132" t="s">
        <v>303</v>
      </c>
      <c r="C132">
        <v>1</v>
      </c>
      <c r="E132">
        <v>83081.929999999993</v>
      </c>
      <c r="G132">
        <v>0.05</v>
      </c>
    </row>
    <row r="133" spans="1:7">
      <c r="A133" t="s">
        <v>5172</v>
      </c>
      <c r="B133" t="s">
        <v>511</v>
      </c>
      <c r="C133">
        <v>4</v>
      </c>
      <c r="E133">
        <v>83087</v>
      </c>
      <c r="G133">
        <v>3</v>
      </c>
    </row>
    <row r="134" spans="1:7">
      <c r="A134" t="s">
        <v>5172</v>
      </c>
      <c r="B134" t="s">
        <v>269</v>
      </c>
      <c r="C134">
        <v>4</v>
      </c>
      <c r="E134">
        <v>83087</v>
      </c>
      <c r="G134">
        <v>3</v>
      </c>
    </row>
    <row r="135" spans="1:7">
      <c r="A135" t="s">
        <v>5173</v>
      </c>
      <c r="B135" t="s">
        <v>509</v>
      </c>
      <c r="C135">
        <v>1</v>
      </c>
      <c r="E135">
        <v>83149.7</v>
      </c>
      <c r="G135">
        <v>0.3</v>
      </c>
    </row>
    <row r="136" spans="1:7">
      <c r="A136" t="s">
        <v>5173</v>
      </c>
      <c r="B136" t="s">
        <v>264</v>
      </c>
      <c r="C136">
        <v>0</v>
      </c>
      <c r="E136">
        <v>83162.7</v>
      </c>
      <c r="G136">
        <v>0.3</v>
      </c>
    </row>
    <row r="137" spans="1:7">
      <c r="A137" t="s">
        <v>5174</v>
      </c>
      <c r="B137" t="s">
        <v>282</v>
      </c>
      <c r="C137">
        <v>0</v>
      </c>
      <c r="E137">
        <v>83241.58</v>
      </c>
      <c r="G137">
        <v>0.05</v>
      </c>
    </row>
    <row r="138" spans="1:7">
      <c r="A138" t="s">
        <v>5174</v>
      </c>
      <c r="B138" t="s">
        <v>282</v>
      </c>
      <c r="C138">
        <v>1</v>
      </c>
      <c r="E138">
        <v>83242.45</v>
      </c>
      <c r="G138">
        <v>0.05</v>
      </c>
    </row>
    <row r="139" spans="1:7">
      <c r="A139" t="s">
        <v>5174</v>
      </c>
      <c r="B139" t="s">
        <v>282</v>
      </c>
      <c r="C139">
        <v>2</v>
      </c>
      <c r="E139">
        <v>83259.41</v>
      </c>
      <c r="G139">
        <v>0.05</v>
      </c>
    </row>
    <row r="140" spans="1:7">
      <c r="A140" t="s">
        <v>5175</v>
      </c>
      <c r="B140" t="s">
        <v>259</v>
      </c>
      <c r="C140">
        <v>2</v>
      </c>
      <c r="E140">
        <v>83263.3</v>
      </c>
      <c r="G140">
        <v>0.4</v>
      </c>
    </row>
    <row r="141" spans="1:7">
      <c r="A141" t="s">
        <v>5175</v>
      </c>
      <c r="B141" t="s">
        <v>257</v>
      </c>
      <c r="C141">
        <v>1</v>
      </c>
      <c r="E141">
        <v>83266.600000000006</v>
      </c>
      <c r="G141">
        <v>0.4</v>
      </c>
    </row>
    <row r="142" spans="1:7">
      <c r="A142" t="s">
        <v>5175</v>
      </c>
      <c r="B142" t="s">
        <v>257</v>
      </c>
      <c r="C142">
        <v>2</v>
      </c>
      <c r="E142">
        <v>83267.399999999994</v>
      </c>
      <c r="G142">
        <v>0.5</v>
      </c>
    </row>
    <row r="143" spans="1:7">
      <c r="A143" t="s">
        <v>5175</v>
      </c>
      <c r="B143" t="s">
        <v>257</v>
      </c>
      <c r="C143">
        <v>3</v>
      </c>
      <c r="E143">
        <v>83269.2</v>
      </c>
      <c r="G143">
        <v>0.3</v>
      </c>
    </row>
    <row r="144" spans="1:7">
      <c r="A144" t="s">
        <v>5176</v>
      </c>
      <c r="B144" t="s">
        <v>283</v>
      </c>
      <c r="C144">
        <v>2</v>
      </c>
      <c r="E144">
        <v>83271</v>
      </c>
      <c r="G144">
        <v>0.4</v>
      </c>
    </row>
    <row r="145" spans="1:7">
      <c r="A145" t="s">
        <v>5176</v>
      </c>
      <c r="B145" t="s">
        <v>283</v>
      </c>
      <c r="C145">
        <v>3</v>
      </c>
      <c r="E145">
        <v>83271.3</v>
      </c>
      <c r="G145">
        <v>0.4</v>
      </c>
    </row>
    <row r="146" spans="1:7">
      <c r="A146" t="s">
        <v>5176</v>
      </c>
      <c r="B146" t="s">
        <v>283</v>
      </c>
      <c r="C146">
        <v>4</v>
      </c>
      <c r="E146">
        <v>83271.600000000006</v>
      </c>
      <c r="G146">
        <v>0.4</v>
      </c>
    </row>
    <row r="147" spans="1:7">
      <c r="A147" t="s">
        <v>5176</v>
      </c>
      <c r="B147" t="s">
        <v>296</v>
      </c>
      <c r="C147">
        <v>3</v>
      </c>
      <c r="E147">
        <v>83271.399999999994</v>
      </c>
      <c r="G147">
        <v>0.4</v>
      </c>
    </row>
    <row r="148" spans="1:7">
      <c r="A148" t="s">
        <v>5174</v>
      </c>
      <c r="B148" t="s">
        <v>303</v>
      </c>
      <c r="C148">
        <v>1</v>
      </c>
      <c r="E148">
        <v>83273.22</v>
      </c>
      <c r="G148">
        <v>0.05</v>
      </c>
    </row>
    <row r="149" spans="1:7">
      <c r="A149" t="s">
        <v>5177</v>
      </c>
      <c r="B149" t="s">
        <v>511</v>
      </c>
      <c r="C149">
        <v>4</v>
      </c>
      <c r="E149">
        <v>83283</v>
      </c>
      <c r="G149">
        <v>5</v>
      </c>
    </row>
    <row r="150" spans="1:7">
      <c r="A150" t="s">
        <v>5177</v>
      </c>
      <c r="B150" t="s">
        <v>269</v>
      </c>
      <c r="C150">
        <v>4</v>
      </c>
      <c r="E150">
        <v>83283</v>
      </c>
      <c r="G150">
        <v>5</v>
      </c>
    </row>
    <row r="151" spans="1:7">
      <c r="A151" t="s">
        <v>5178</v>
      </c>
      <c r="B151" t="s">
        <v>509</v>
      </c>
      <c r="C151">
        <v>1</v>
      </c>
      <c r="E151">
        <v>83324.7</v>
      </c>
      <c r="G151">
        <v>0.2</v>
      </c>
    </row>
    <row r="152" spans="1:7">
      <c r="A152" t="s">
        <v>5178</v>
      </c>
      <c r="B152" t="s">
        <v>264</v>
      </c>
      <c r="C152">
        <v>0</v>
      </c>
      <c r="E152">
        <v>83334.5</v>
      </c>
      <c r="G152">
        <v>0.2</v>
      </c>
    </row>
    <row r="153" spans="1:7">
      <c r="A153" t="s">
        <v>5179</v>
      </c>
      <c r="B153" t="s">
        <v>282</v>
      </c>
      <c r="C153">
        <v>0</v>
      </c>
      <c r="E153">
        <v>83394.59</v>
      </c>
      <c r="G153">
        <v>0.05</v>
      </c>
    </row>
    <row r="154" spans="1:7">
      <c r="A154" t="s">
        <v>5179</v>
      </c>
      <c r="B154" t="s">
        <v>282</v>
      </c>
      <c r="C154">
        <v>1</v>
      </c>
      <c r="E154">
        <v>83395.33</v>
      </c>
      <c r="G154">
        <v>0.05</v>
      </c>
    </row>
    <row r="155" spans="1:7">
      <c r="A155" t="s">
        <v>5179</v>
      </c>
      <c r="B155" t="s">
        <v>282</v>
      </c>
      <c r="C155">
        <v>2</v>
      </c>
      <c r="E155">
        <v>83408.34</v>
      </c>
      <c r="G155">
        <v>0.05</v>
      </c>
    </row>
    <row r="156" spans="1:7">
      <c r="A156" t="s">
        <v>5180</v>
      </c>
      <c r="B156" t="s">
        <v>259</v>
      </c>
      <c r="C156">
        <v>2</v>
      </c>
      <c r="E156">
        <v>83411.7</v>
      </c>
      <c r="G156">
        <v>0.2</v>
      </c>
    </row>
    <row r="157" spans="1:7">
      <c r="A157" t="s">
        <v>5180</v>
      </c>
      <c r="B157" t="s">
        <v>257</v>
      </c>
      <c r="C157">
        <v>1</v>
      </c>
      <c r="E157">
        <v>83414.100000000006</v>
      </c>
      <c r="G157">
        <v>0.4</v>
      </c>
    </row>
    <row r="158" spans="1:7">
      <c r="A158" t="s">
        <v>5180</v>
      </c>
      <c r="B158" t="s">
        <v>257</v>
      </c>
      <c r="C158">
        <v>2</v>
      </c>
      <c r="E158">
        <v>83414.8</v>
      </c>
      <c r="G158">
        <v>0.5</v>
      </c>
    </row>
    <row r="159" spans="1:7">
      <c r="A159" t="s">
        <v>5180</v>
      </c>
      <c r="B159" t="s">
        <v>257</v>
      </c>
      <c r="C159">
        <v>3</v>
      </c>
      <c r="E159">
        <v>83415.600000000006</v>
      </c>
      <c r="G159">
        <v>0.4</v>
      </c>
    </row>
    <row r="160" spans="1:7">
      <c r="A160" t="s">
        <v>5181</v>
      </c>
      <c r="B160" t="s">
        <v>283</v>
      </c>
      <c r="C160">
        <v>3</v>
      </c>
      <c r="E160">
        <v>83417.2</v>
      </c>
      <c r="G160">
        <v>0.4</v>
      </c>
    </row>
    <row r="161" spans="1:7">
      <c r="A161" t="s">
        <v>5181</v>
      </c>
      <c r="B161" t="s">
        <v>283</v>
      </c>
      <c r="C161">
        <v>2</v>
      </c>
      <c r="E161">
        <v>83417.2</v>
      </c>
      <c r="G161">
        <v>0.4</v>
      </c>
    </row>
    <row r="162" spans="1:7">
      <c r="A162" t="s">
        <v>5181</v>
      </c>
      <c r="B162" t="s">
        <v>283</v>
      </c>
      <c r="C162">
        <v>4</v>
      </c>
      <c r="E162">
        <v>83417.600000000006</v>
      </c>
      <c r="G162">
        <v>0.4</v>
      </c>
    </row>
    <row r="163" spans="1:7">
      <c r="A163" t="s">
        <v>5181</v>
      </c>
      <c r="B163" t="s">
        <v>296</v>
      </c>
      <c r="C163">
        <v>3</v>
      </c>
      <c r="E163">
        <v>83417.899999999994</v>
      </c>
      <c r="G163">
        <v>0.4</v>
      </c>
    </row>
    <row r="164" spans="1:7">
      <c r="A164" t="s">
        <v>5179</v>
      </c>
      <c r="B164" t="s">
        <v>303</v>
      </c>
      <c r="C164">
        <v>1</v>
      </c>
      <c r="E164">
        <v>83418.600000000006</v>
      </c>
      <c r="G164">
        <v>0.05</v>
      </c>
    </row>
    <row r="165" spans="1:7">
      <c r="A165" t="s">
        <v>5182</v>
      </c>
      <c r="B165" t="s">
        <v>509</v>
      </c>
      <c r="C165">
        <v>1</v>
      </c>
      <c r="E165">
        <v>83458.7</v>
      </c>
      <c r="G165">
        <v>0.4</v>
      </c>
    </row>
    <row r="166" spans="1:7">
      <c r="A166" t="s">
        <v>5182</v>
      </c>
      <c r="B166" t="s">
        <v>264</v>
      </c>
      <c r="C166">
        <v>0</v>
      </c>
      <c r="E166">
        <v>83466.100000000006</v>
      </c>
      <c r="G166">
        <v>0.3</v>
      </c>
    </row>
    <row r="167" spans="1:7">
      <c r="A167" t="s">
        <v>5183</v>
      </c>
      <c r="B167" t="s">
        <v>282</v>
      </c>
      <c r="C167">
        <v>0</v>
      </c>
      <c r="E167">
        <v>83513.279999999999</v>
      </c>
      <c r="G167">
        <v>0.05</v>
      </c>
    </row>
    <row r="168" spans="1:7">
      <c r="A168" t="s">
        <v>5183</v>
      </c>
      <c r="B168" t="s">
        <v>282</v>
      </c>
      <c r="C168">
        <v>1</v>
      </c>
      <c r="E168">
        <v>83513.740000000005</v>
      </c>
      <c r="G168">
        <v>0.05</v>
      </c>
    </row>
    <row r="169" spans="1:7">
      <c r="A169" t="s">
        <v>5183</v>
      </c>
      <c r="B169" t="s">
        <v>282</v>
      </c>
      <c r="C169">
        <v>2</v>
      </c>
      <c r="E169">
        <v>83524.06</v>
      </c>
      <c r="G169">
        <v>0.05</v>
      </c>
    </row>
    <row r="170" spans="1:7">
      <c r="A170" t="s">
        <v>5184</v>
      </c>
      <c r="B170" t="s">
        <v>259</v>
      </c>
      <c r="C170">
        <v>2</v>
      </c>
      <c r="E170">
        <v>83526.7</v>
      </c>
      <c r="G170">
        <v>0.3</v>
      </c>
    </row>
    <row r="171" spans="1:7">
      <c r="A171" t="s">
        <v>5184</v>
      </c>
      <c r="B171" t="s">
        <v>257</v>
      </c>
      <c r="C171">
        <v>1</v>
      </c>
      <c r="E171">
        <v>83528.399999999994</v>
      </c>
      <c r="G171">
        <v>0.3</v>
      </c>
    </row>
    <row r="172" spans="1:7">
      <c r="A172" t="s">
        <v>5184</v>
      </c>
      <c r="B172" t="s">
        <v>257</v>
      </c>
      <c r="C172">
        <v>2</v>
      </c>
      <c r="E172">
        <v>83529.100000000006</v>
      </c>
      <c r="G172">
        <v>0.5</v>
      </c>
    </row>
    <row r="173" spans="1:7">
      <c r="A173" t="s">
        <v>5184</v>
      </c>
      <c r="B173" t="s">
        <v>257</v>
      </c>
      <c r="C173">
        <v>3</v>
      </c>
      <c r="E173">
        <v>83529.8</v>
      </c>
      <c r="G173">
        <v>0.4</v>
      </c>
    </row>
    <row r="174" spans="1:7">
      <c r="A174" t="s">
        <v>5185</v>
      </c>
      <c r="B174" t="s">
        <v>283</v>
      </c>
      <c r="C174">
        <v>3</v>
      </c>
      <c r="E174">
        <v>83531.100000000006</v>
      </c>
      <c r="G174">
        <v>0.4</v>
      </c>
    </row>
    <row r="175" spans="1:7">
      <c r="A175" t="s">
        <v>5185</v>
      </c>
      <c r="B175" t="s">
        <v>283</v>
      </c>
      <c r="C175">
        <v>4</v>
      </c>
      <c r="E175">
        <v>83531.199999999997</v>
      </c>
      <c r="G175">
        <v>0.4</v>
      </c>
    </row>
    <row r="176" spans="1:7">
      <c r="A176" t="s">
        <v>5185</v>
      </c>
      <c r="B176" t="s">
        <v>283</v>
      </c>
      <c r="C176">
        <v>2</v>
      </c>
      <c r="E176">
        <v>83531.600000000006</v>
      </c>
      <c r="G176">
        <v>0.9</v>
      </c>
    </row>
    <row r="177" spans="1:7">
      <c r="A177" t="s">
        <v>5185</v>
      </c>
      <c r="B177" t="s">
        <v>296</v>
      </c>
      <c r="C177">
        <v>3</v>
      </c>
      <c r="E177">
        <v>83531.399999999994</v>
      </c>
      <c r="G177">
        <v>0.7</v>
      </c>
    </row>
    <row r="178" spans="1:7">
      <c r="A178" t="s">
        <v>5183</v>
      </c>
      <c r="B178" t="s">
        <v>303</v>
      </c>
      <c r="C178">
        <v>1</v>
      </c>
      <c r="E178">
        <v>83531.990000000005</v>
      </c>
      <c r="G178">
        <v>0.05</v>
      </c>
    </row>
    <row r="179" spans="1:7">
      <c r="A179" t="s">
        <v>5186</v>
      </c>
      <c r="B179" t="s">
        <v>509</v>
      </c>
      <c r="C179">
        <v>1</v>
      </c>
      <c r="E179">
        <v>83563.899999999994</v>
      </c>
      <c r="G179">
        <v>0.3</v>
      </c>
    </row>
    <row r="180" spans="1:7">
      <c r="A180" t="s">
        <v>5186</v>
      </c>
      <c r="B180" t="s">
        <v>264</v>
      </c>
      <c r="C180">
        <v>0</v>
      </c>
      <c r="E180">
        <v>83569</v>
      </c>
      <c r="G180">
        <v>0.3</v>
      </c>
    </row>
    <row r="181" spans="1:7">
      <c r="A181" t="s">
        <v>5187</v>
      </c>
      <c r="B181" t="s">
        <v>282</v>
      </c>
      <c r="C181">
        <v>0</v>
      </c>
      <c r="E181">
        <v>83607.17</v>
      </c>
      <c r="G181">
        <v>0.05</v>
      </c>
    </row>
    <row r="182" spans="1:7">
      <c r="A182" t="s">
        <v>5187</v>
      </c>
      <c r="B182" t="s">
        <v>282</v>
      </c>
      <c r="C182">
        <v>1</v>
      </c>
      <c r="E182">
        <v>83607.350000000006</v>
      </c>
      <c r="G182">
        <v>0.05</v>
      </c>
    </row>
    <row r="183" spans="1:7">
      <c r="A183" t="s">
        <v>5187</v>
      </c>
      <c r="B183" t="s">
        <v>282</v>
      </c>
      <c r="C183">
        <v>2</v>
      </c>
      <c r="E183">
        <v>83615.67</v>
      </c>
      <c r="G183">
        <v>0.05</v>
      </c>
    </row>
    <row r="184" spans="1:7">
      <c r="A184" t="s">
        <v>5188</v>
      </c>
      <c r="B184" t="s">
        <v>259</v>
      </c>
      <c r="C184">
        <v>2</v>
      </c>
      <c r="E184">
        <v>83617.2</v>
      </c>
      <c r="G184">
        <v>0.2</v>
      </c>
    </row>
    <row r="185" spans="1:7">
      <c r="A185" t="s">
        <v>5188</v>
      </c>
      <c r="B185" t="s">
        <v>257</v>
      </c>
      <c r="C185">
        <v>1</v>
      </c>
      <c r="E185">
        <v>83619.3</v>
      </c>
      <c r="G185">
        <v>0.4</v>
      </c>
    </row>
    <row r="186" spans="1:7">
      <c r="A186" t="s">
        <v>5188</v>
      </c>
      <c r="B186" t="s">
        <v>257</v>
      </c>
      <c r="C186">
        <v>2</v>
      </c>
      <c r="E186">
        <v>83620</v>
      </c>
      <c r="G186">
        <v>0.5</v>
      </c>
    </row>
    <row r="187" spans="1:7">
      <c r="A187" t="s">
        <v>5188</v>
      </c>
      <c r="B187" t="s">
        <v>257</v>
      </c>
      <c r="C187">
        <v>3</v>
      </c>
      <c r="E187">
        <v>83620.399999999994</v>
      </c>
      <c r="G187">
        <v>0.4</v>
      </c>
    </row>
    <row r="188" spans="1:7">
      <c r="A188" t="s">
        <v>5189</v>
      </c>
      <c r="B188" t="s">
        <v>296</v>
      </c>
      <c r="C188">
        <v>3</v>
      </c>
      <c r="E188">
        <v>83620.3</v>
      </c>
      <c r="G188">
        <v>0.5</v>
      </c>
    </row>
    <row r="189" spans="1:7">
      <c r="A189" t="s">
        <v>5189</v>
      </c>
      <c r="B189" t="s">
        <v>283</v>
      </c>
      <c r="C189">
        <v>4</v>
      </c>
    </row>
    <row r="190" spans="1:7">
      <c r="A190" t="s">
        <v>5189</v>
      </c>
      <c r="B190" t="s">
        <v>283</v>
      </c>
      <c r="C190">
        <v>2</v>
      </c>
    </row>
    <row r="191" spans="1:7">
      <c r="A191" t="s">
        <v>5189</v>
      </c>
      <c r="B191" t="s">
        <v>283</v>
      </c>
      <c r="C191">
        <v>3</v>
      </c>
      <c r="E191">
        <v>83621.8</v>
      </c>
      <c r="G191">
        <v>0.4</v>
      </c>
    </row>
    <row r="192" spans="1:7">
      <c r="A192" t="s">
        <v>5187</v>
      </c>
      <c r="B192" t="s">
        <v>303</v>
      </c>
      <c r="C192">
        <v>1</v>
      </c>
      <c r="E192">
        <v>83621.89</v>
      </c>
      <c r="G192">
        <v>0.05</v>
      </c>
    </row>
    <row r="193" spans="1:7">
      <c r="A193" t="s">
        <v>5190</v>
      </c>
      <c r="B193" t="s">
        <v>509</v>
      </c>
      <c r="C193">
        <v>1</v>
      </c>
      <c r="E193">
        <v>83647.8</v>
      </c>
      <c r="G193">
        <v>0.4</v>
      </c>
    </row>
    <row r="194" spans="1:7">
      <c r="A194" t="s">
        <v>5190</v>
      </c>
      <c r="B194" t="s">
        <v>264</v>
      </c>
      <c r="C194">
        <v>0</v>
      </c>
      <c r="E194">
        <v>83651</v>
      </c>
      <c r="G194">
        <v>0.3</v>
      </c>
    </row>
    <row r="195" spans="1:7">
      <c r="A195" t="s">
        <v>5191</v>
      </c>
      <c r="B195" t="s">
        <v>282</v>
      </c>
      <c r="C195">
        <v>1</v>
      </c>
      <c r="E195">
        <v>83682.759999999995</v>
      </c>
      <c r="G195">
        <v>0.06</v>
      </c>
    </row>
    <row r="196" spans="1:7">
      <c r="A196" t="s">
        <v>5191</v>
      </c>
      <c r="B196" t="s">
        <v>282</v>
      </c>
      <c r="C196">
        <v>0</v>
      </c>
      <c r="E196">
        <v>83682.759999999995</v>
      </c>
      <c r="G196">
        <v>0.09</v>
      </c>
    </row>
    <row r="197" spans="1:7">
      <c r="A197" t="s">
        <v>5191</v>
      </c>
      <c r="B197" t="s">
        <v>282</v>
      </c>
      <c r="C197">
        <v>2</v>
      </c>
      <c r="E197">
        <v>83689.41</v>
      </c>
      <c r="G197">
        <v>0.05</v>
      </c>
    </row>
    <row r="198" spans="1:7">
      <c r="A198" t="s">
        <v>5192</v>
      </c>
      <c r="B198" t="s">
        <v>296</v>
      </c>
      <c r="C198">
        <v>3</v>
      </c>
      <c r="E198">
        <v>83690</v>
      </c>
      <c r="G198">
        <v>0.6</v>
      </c>
    </row>
    <row r="199" spans="1:7">
      <c r="A199" t="s">
        <v>5193</v>
      </c>
      <c r="B199" t="s">
        <v>259</v>
      </c>
      <c r="C199">
        <v>2</v>
      </c>
      <c r="E199">
        <v>83690.399999999994</v>
      </c>
      <c r="G199">
        <v>0.3</v>
      </c>
    </row>
    <row r="200" spans="1:7">
      <c r="A200" t="s">
        <v>5193</v>
      </c>
      <c r="B200" t="s">
        <v>257</v>
      </c>
      <c r="C200">
        <v>2</v>
      </c>
      <c r="E200">
        <v>83692.399999999994</v>
      </c>
      <c r="G200">
        <v>0.6</v>
      </c>
    </row>
    <row r="201" spans="1:7">
      <c r="A201" t="s">
        <v>5193</v>
      </c>
      <c r="B201" t="s">
        <v>257</v>
      </c>
      <c r="C201">
        <v>1</v>
      </c>
      <c r="E201">
        <v>83692.600000000006</v>
      </c>
      <c r="G201">
        <v>0.4</v>
      </c>
    </row>
    <row r="202" spans="1:7">
      <c r="A202" t="s">
        <v>5193</v>
      </c>
      <c r="B202" t="s">
        <v>257</v>
      </c>
      <c r="C202">
        <v>3</v>
      </c>
      <c r="E202">
        <v>83694.100000000006</v>
      </c>
      <c r="G202">
        <v>0.7</v>
      </c>
    </row>
    <row r="203" spans="1:7">
      <c r="A203" t="s">
        <v>5192</v>
      </c>
      <c r="B203" t="s">
        <v>283</v>
      </c>
      <c r="C203">
        <v>3</v>
      </c>
      <c r="E203">
        <v>83693.899999999994</v>
      </c>
      <c r="G203">
        <v>0.5</v>
      </c>
    </row>
    <row r="204" spans="1:7">
      <c r="A204" t="s">
        <v>5191</v>
      </c>
      <c r="B204" t="s">
        <v>303</v>
      </c>
      <c r="C204">
        <v>1</v>
      </c>
      <c r="E204">
        <v>83694.44</v>
      </c>
      <c r="G204">
        <v>0.05</v>
      </c>
    </row>
    <row r="205" spans="1:7">
      <c r="A205" t="s">
        <v>5194</v>
      </c>
      <c r="B205" t="s">
        <v>509</v>
      </c>
      <c r="C205">
        <v>1</v>
      </c>
      <c r="E205">
        <v>83715.600000000006</v>
      </c>
      <c r="G205">
        <v>0.5</v>
      </c>
    </row>
    <row r="206" spans="1:7">
      <c r="A206" t="s">
        <v>5194</v>
      </c>
      <c r="B206" t="s">
        <v>264</v>
      </c>
      <c r="C206">
        <v>0</v>
      </c>
      <c r="E206">
        <v>83718.5</v>
      </c>
      <c r="G206">
        <v>0.3</v>
      </c>
    </row>
    <row r="207" spans="1:7">
      <c r="A207" t="s">
        <v>5195</v>
      </c>
      <c r="B207" t="s">
        <v>282</v>
      </c>
      <c r="C207">
        <v>0</v>
      </c>
      <c r="E207">
        <v>83744.23</v>
      </c>
      <c r="G207">
        <v>0.1</v>
      </c>
    </row>
    <row r="208" spans="1:7">
      <c r="A208" t="s">
        <v>5195</v>
      </c>
      <c r="B208" t="s">
        <v>282</v>
      </c>
      <c r="C208">
        <v>1</v>
      </c>
      <c r="E208">
        <v>83744.23</v>
      </c>
      <c r="G208">
        <v>0.06</v>
      </c>
    </row>
    <row r="209" spans="1:7">
      <c r="A209" t="s">
        <v>5195</v>
      </c>
      <c r="B209" t="s">
        <v>282</v>
      </c>
      <c r="C209">
        <v>2</v>
      </c>
      <c r="E209">
        <v>83749.740000000005</v>
      </c>
      <c r="G209">
        <v>0.05</v>
      </c>
    </row>
    <row r="210" spans="1:7">
      <c r="A210" t="s">
        <v>5196</v>
      </c>
      <c r="B210" t="s">
        <v>259</v>
      </c>
      <c r="C210">
        <v>2</v>
      </c>
      <c r="E210">
        <v>83750.05</v>
      </c>
      <c r="G210">
        <v>0.26</v>
      </c>
    </row>
    <row r="211" spans="1:7">
      <c r="A211" t="s">
        <v>5197</v>
      </c>
      <c r="B211" t="s">
        <v>296</v>
      </c>
      <c r="C211">
        <v>3</v>
      </c>
      <c r="E211">
        <v>83752</v>
      </c>
      <c r="G211">
        <v>0.5</v>
      </c>
    </row>
    <row r="212" spans="1:7">
      <c r="A212" t="s">
        <v>5196</v>
      </c>
      <c r="B212" t="s">
        <v>257</v>
      </c>
      <c r="C212">
        <v>2</v>
      </c>
      <c r="E212">
        <v>83752.5</v>
      </c>
      <c r="G212">
        <v>0.6</v>
      </c>
    </row>
    <row r="213" spans="1:7">
      <c r="A213" t="s">
        <v>5196</v>
      </c>
      <c r="B213" t="s">
        <v>257</v>
      </c>
      <c r="C213">
        <v>3</v>
      </c>
      <c r="E213">
        <v>83752.7</v>
      </c>
      <c r="G213">
        <v>0.4</v>
      </c>
    </row>
    <row r="214" spans="1:7">
      <c r="A214" t="s">
        <v>5196</v>
      </c>
      <c r="B214" t="s">
        <v>257</v>
      </c>
      <c r="C214">
        <v>1</v>
      </c>
      <c r="E214">
        <v>83753.3</v>
      </c>
      <c r="G214">
        <v>0.6</v>
      </c>
    </row>
    <row r="215" spans="1:7">
      <c r="A215" t="s">
        <v>5195</v>
      </c>
      <c r="B215" t="s">
        <v>303</v>
      </c>
      <c r="C215">
        <v>1</v>
      </c>
      <c r="E215">
        <v>83753.8</v>
      </c>
      <c r="G215">
        <v>0.05</v>
      </c>
    </row>
    <row r="216" spans="1:7">
      <c r="A216" t="s">
        <v>5198</v>
      </c>
      <c r="B216" t="s">
        <v>259</v>
      </c>
      <c r="C216">
        <v>2</v>
      </c>
      <c r="E216">
        <v>83798.100000000006</v>
      </c>
      <c r="G216">
        <v>0.3</v>
      </c>
    </row>
    <row r="217" spans="1:7">
      <c r="A217" t="s">
        <v>5199</v>
      </c>
      <c r="B217" t="s">
        <v>296</v>
      </c>
      <c r="C217">
        <v>3</v>
      </c>
      <c r="E217">
        <v>83801.7</v>
      </c>
      <c r="G217">
        <v>0.5</v>
      </c>
    </row>
    <row r="218" spans="1:7">
      <c r="A218" t="s">
        <v>5199</v>
      </c>
      <c r="B218" t="s">
        <v>283</v>
      </c>
      <c r="C218">
        <v>3</v>
      </c>
      <c r="E218">
        <v>83802.100000000006</v>
      </c>
      <c r="G218">
        <v>0.5</v>
      </c>
    </row>
    <row r="219" spans="1:7">
      <c r="A219" t="s">
        <v>5199</v>
      </c>
      <c r="B219" t="s">
        <v>283</v>
      </c>
      <c r="C219">
        <v>4</v>
      </c>
      <c r="E219">
        <v>83803.399999999994</v>
      </c>
      <c r="G219">
        <v>0.5</v>
      </c>
    </row>
    <row r="220" spans="1:7">
      <c r="A220" t="s">
        <v>5198</v>
      </c>
      <c r="B220" t="s">
        <v>257</v>
      </c>
      <c r="C220">
        <v>2</v>
      </c>
      <c r="E220">
        <v>83802.399999999994</v>
      </c>
      <c r="G220">
        <v>0.6</v>
      </c>
    </row>
    <row r="221" spans="1:7">
      <c r="A221" t="s">
        <v>5198</v>
      </c>
      <c r="B221" t="s">
        <v>257</v>
      </c>
      <c r="C221">
        <v>1</v>
      </c>
      <c r="E221">
        <v>83802.8</v>
      </c>
      <c r="G221">
        <v>0.6</v>
      </c>
    </row>
    <row r="222" spans="1:7">
      <c r="A222" t="s">
        <v>5198</v>
      </c>
      <c r="B222" t="s">
        <v>257</v>
      </c>
      <c r="C222">
        <v>3</v>
      </c>
      <c r="E222">
        <v>83803</v>
      </c>
      <c r="G222">
        <v>0.5</v>
      </c>
    </row>
    <row r="223" spans="1:7">
      <c r="A223" t="s">
        <v>5200</v>
      </c>
      <c r="B223" t="s">
        <v>283</v>
      </c>
      <c r="C223">
        <v>3</v>
      </c>
      <c r="E223">
        <v>83843.100000000006</v>
      </c>
      <c r="G223">
        <v>0.7</v>
      </c>
    </row>
    <row r="224" spans="1:7">
      <c r="A224" t="s">
        <v>5200</v>
      </c>
      <c r="B224" t="s">
        <v>296</v>
      </c>
      <c r="C224">
        <v>3</v>
      </c>
      <c r="E224">
        <v>83843.7</v>
      </c>
      <c r="G224">
        <v>0.5</v>
      </c>
    </row>
    <row r="225" spans="1:9">
      <c r="A225" t="s">
        <v>5201</v>
      </c>
      <c r="B225" t="s">
        <v>283</v>
      </c>
      <c r="C225">
        <v>4</v>
      </c>
      <c r="E225">
        <v>83878.2</v>
      </c>
      <c r="G225">
        <v>0.7</v>
      </c>
    </row>
    <row r="226" spans="1:9">
      <c r="A226" t="s">
        <v>5201</v>
      </c>
      <c r="B226" t="s">
        <v>296</v>
      </c>
      <c r="C226">
        <v>3</v>
      </c>
      <c r="E226">
        <v>83878.8</v>
      </c>
      <c r="G226">
        <v>0.7</v>
      </c>
    </row>
    <row r="227" spans="1:9">
      <c r="A227" t="s">
        <v>5202</v>
      </c>
      <c r="B227" t="s">
        <v>296</v>
      </c>
      <c r="C227">
        <v>3</v>
      </c>
      <c r="E227">
        <v>83906.3</v>
      </c>
      <c r="G227">
        <v>0.5</v>
      </c>
    </row>
    <row r="228" spans="1:9">
      <c r="A228" t="s">
        <v>5202</v>
      </c>
      <c r="B228" t="s">
        <v>283</v>
      </c>
      <c r="C228">
        <v>4</v>
      </c>
      <c r="E228">
        <v>83907.1</v>
      </c>
      <c r="G228">
        <v>0.5</v>
      </c>
    </row>
    <row r="229" spans="1:9">
      <c r="A229" t="s">
        <v>5203</v>
      </c>
      <c r="B229" t="s">
        <v>202</v>
      </c>
      <c r="C229" t="s">
        <v>203</v>
      </c>
      <c r="E229">
        <v>84184.15</v>
      </c>
      <c r="G229">
        <v>0.05</v>
      </c>
      <c r="I229" t="s">
        <v>5204</v>
      </c>
    </row>
    <row r="230" spans="1:9">
      <c r="A230" t="s">
        <v>5205</v>
      </c>
      <c r="B230" t="s">
        <v>394</v>
      </c>
      <c r="C230">
        <v>1</v>
      </c>
      <c r="E230">
        <v>88759.6</v>
      </c>
      <c r="G230">
        <v>0.3</v>
      </c>
    </row>
    <row r="231" spans="1:9">
      <c r="A231" t="s">
        <v>5206</v>
      </c>
      <c r="B231" t="s">
        <v>266</v>
      </c>
      <c r="C231">
        <v>0</v>
      </c>
      <c r="E231">
        <v>90099.6</v>
      </c>
      <c r="G231">
        <v>0.2</v>
      </c>
    </row>
    <row r="232" spans="1:9">
      <c r="A232" t="s">
        <v>5206</v>
      </c>
      <c r="B232" t="s">
        <v>266</v>
      </c>
      <c r="C232">
        <v>1</v>
      </c>
      <c r="E232">
        <v>93980</v>
      </c>
      <c r="G232">
        <v>0.4</v>
      </c>
    </row>
    <row r="233" spans="1:9">
      <c r="A233" t="s">
        <v>5206</v>
      </c>
      <c r="B233" t="s">
        <v>266</v>
      </c>
      <c r="C233">
        <v>2</v>
      </c>
      <c r="E233">
        <v>96190</v>
      </c>
      <c r="G233">
        <v>60</v>
      </c>
    </row>
    <row r="234" spans="1:9">
      <c r="A234" t="s">
        <v>5205</v>
      </c>
      <c r="B234" t="s">
        <v>388</v>
      </c>
      <c r="C234">
        <v>1</v>
      </c>
      <c r="E234">
        <v>93736.4</v>
      </c>
      <c r="G234">
        <v>0.4</v>
      </c>
    </row>
    <row r="235" spans="1:9">
      <c r="A235" t="s">
        <v>5207</v>
      </c>
      <c r="B235" t="s">
        <v>319</v>
      </c>
      <c r="C235">
        <v>3</v>
      </c>
      <c r="E235">
        <v>97100.23</v>
      </c>
      <c r="G235">
        <v>0.3</v>
      </c>
    </row>
    <row r="236" spans="1:9">
      <c r="A236" t="s">
        <v>5207</v>
      </c>
      <c r="B236" t="s">
        <v>319</v>
      </c>
      <c r="C236">
        <v>2</v>
      </c>
      <c r="E236">
        <v>97309.84</v>
      </c>
      <c r="G236">
        <v>0.19</v>
      </c>
    </row>
    <row r="237" spans="1:9">
      <c r="A237" t="s">
        <v>5208</v>
      </c>
      <c r="B237" t="s">
        <v>388</v>
      </c>
      <c r="C237">
        <v>1</v>
      </c>
      <c r="E237">
        <v>105882</v>
      </c>
      <c r="G237">
        <v>8</v>
      </c>
    </row>
    <row r="238" spans="1:9">
      <c r="A238" t="s">
        <v>5209</v>
      </c>
      <c r="B238" t="s">
        <v>388</v>
      </c>
      <c r="C238">
        <v>1</v>
      </c>
      <c r="E238">
        <v>112273</v>
      </c>
      <c r="G238">
        <v>9</v>
      </c>
    </row>
    <row r="239" spans="1:9">
      <c r="A239" t="s">
        <v>5210</v>
      </c>
      <c r="B239" t="s">
        <v>388</v>
      </c>
      <c r="C239">
        <v>1</v>
      </c>
      <c r="E239">
        <v>112701.3</v>
      </c>
      <c r="G239">
        <v>2</v>
      </c>
    </row>
    <row r="240" spans="1:9">
      <c r="A240" t="s">
        <v>5210</v>
      </c>
      <c r="B240" t="s">
        <v>394</v>
      </c>
      <c r="C240">
        <v>1</v>
      </c>
      <c r="E240">
        <v>112723.5</v>
      </c>
      <c r="G240">
        <v>2</v>
      </c>
    </row>
    <row r="241" spans="1:7">
      <c r="A241" t="s">
        <v>5211</v>
      </c>
      <c r="B241" t="s">
        <v>388</v>
      </c>
      <c r="C241">
        <v>1</v>
      </c>
      <c r="E241">
        <v>115042</v>
      </c>
      <c r="G241">
        <v>7</v>
      </c>
    </row>
    <row r="242" spans="1:7">
      <c r="A242" t="s">
        <v>5212</v>
      </c>
      <c r="B242" t="s">
        <v>388</v>
      </c>
      <c r="C242">
        <v>1</v>
      </c>
      <c r="E242">
        <v>115231.9</v>
      </c>
      <c r="G242">
        <v>1.2</v>
      </c>
    </row>
    <row r="243" spans="1:7">
      <c r="A243" t="s">
        <v>5212</v>
      </c>
      <c r="B243" t="s">
        <v>394</v>
      </c>
      <c r="C243">
        <v>1</v>
      </c>
      <c r="E243">
        <v>115243.4</v>
      </c>
      <c r="G243">
        <v>1.1000000000000001</v>
      </c>
    </row>
    <row r="244" spans="1:7">
      <c r="A244" t="s">
        <v>5213</v>
      </c>
      <c r="B244" t="s">
        <v>388</v>
      </c>
      <c r="C244">
        <v>1</v>
      </c>
      <c r="E244">
        <v>116503.8</v>
      </c>
      <c r="G244">
        <v>1.2</v>
      </c>
    </row>
    <row r="245" spans="1:7">
      <c r="A245" t="s">
        <v>5214</v>
      </c>
      <c r="B245" t="s">
        <v>388</v>
      </c>
      <c r="C245">
        <v>1</v>
      </c>
      <c r="E245">
        <v>116611.2</v>
      </c>
      <c r="G245">
        <v>1.2</v>
      </c>
    </row>
    <row r="246" spans="1:7">
      <c r="A246" t="s">
        <v>5214</v>
      </c>
      <c r="B246" t="s">
        <v>394</v>
      </c>
      <c r="C246">
        <v>1</v>
      </c>
      <c r="E246">
        <v>116617.8</v>
      </c>
      <c r="G246">
        <v>1.2</v>
      </c>
    </row>
    <row r="247" spans="1:7">
      <c r="A247" t="s">
        <v>5215</v>
      </c>
      <c r="B247" t="s">
        <v>388</v>
      </c>
      <c r="C247">
        <v>1</v>
      </c>
      <c r="E247">
        <v>117371.9</v>
      </c>
      <c r="G247">
        <v>1.2</v>
      </c>
    </row>
    <row r="248" spans="1:7">
      <c r="A248" t="s">
        <v>5216</v>
      </c>
      <c r="B248" t="s">
        <v>388</v>
      </c>
      <c r="C248">
        <v>1</v>
      </c>
      <c r="E248">
        <v>117434.9</v>
      </c>
      <c r="G248">
        <v>1.2</v>
      </c>
    </row>
    <row r="249" spans="1:7">
      <c r="A249" t="s">
        <v>5216</v>
      </c>
      <c r="B249" t="s">
        <v>394</v>
      </c>
      <c r="C249">
        <v>1</v>
      </c>
      <c r="E249">
        <v>117439.3</v>
      </c>
      <c r="G249">
        <v>1.2</v>
      </c>
    </row>
    <row r="250" spans="1:7">
      <c r="A250" t="s">
        <v>5217</v>
      </c>
      <c r="B250" t="s">
        <v>388</v>
      </c>
      <c r="C250">
        <v>1</v>
      </c>
      <c r="E250">
        <v>117929.8</v>
      </c>
      <c r="G250">
        <v>1.3</v>
      </c>
    </row>
    <row r="251" spans="1:7">
      <c r="A251" t="s">
        <v>5218</v>
      </c>
      <c r="B251" t="s">
        <v>388</v>
      </c>
      <c r="C251">
        <v>1</v>
      </c>
      <c r="E251">
        <v>117966.6</v>
      </c>
      <c r="G251">
        <v>1.3</v>
      </c>
    </row>
    <row r="252" spans="1:7">
      <c r="A252" t="s">
        <v>5218</v>
      </c>
      <c r="B252" t="s">
        <v>394</v>
      </c>
      <c r="C252">
        <v>1</v>
      </c>
      <c r="E252">
        <v>117969.60000000001</v>
      </c>
      <c r="G252">
        <v>1.3</v>
      </c>
    </row>
    <row r="253" spans="1:7">
      <c r="A253" t="s">
        <v>5219</v>
      </c>
      <c r="B253" t="s">
        <v>388</v>
      </c>
      <c r="C253">
        <v>1</v>
      </c>
      <c r="E253">
        <v>118311.7</v>
      </c>
      <c r="G253">
        <v>1.3</v>
      </c>
    </row>
    <row r="254" spans="1:7">
      <c r="A254" t="s">
        <v>5220</v>
      </c>
      <c r="B254" t="s">
        <v>388</v>
      </c>
      <c r="C254">
        <v>1</v>
      </c>
      <c r="E254">
        <v>118334.39999999999</v>
      </c>
      <c r="G254">
        <v>1.3</v>
      </c>
    </row>
    <row r="255" spans="1:7">
      <c r="A255" t="s">
        <v>5220</v>
      </c>
      <c r="B255" t="s">
        <v>394</v>
      </c>
      <c r="C255">
        <v>1</v>
      </c>
      <c r="E255">
        <v>118336.5</v>
      </c>
      <c r="G255">
        <v>1.3</v>
      </c>
    </row>
    <row r="256" spans="1:7">
      <c r="A256" t="s">
        <v>5221</v>
      </c>
      <c r="B256" t="s">
        <v>388</v>
      </c>
      <c r="C256">
        <v>1</v>
      </c>
      <c r="E256">
        <v>118576.3</v>
      </c>
      <c r="G256">
        <v>1.3</v>
      </c>
    </row>
    <row r="257" spans="1:7">
      <c r="A257" t="s">
        <v>5222</v>
      </c>
      <c r="B257" t="s">
        <v>388</v>
      </c>
      <c r="C257">
        <v>1</v>
      </c>
      <c r="E257">
        <v>118590.1</v>
      </c>
      <c r="G257">
        <v>1.3</v>
      </c>
    </row>
    <row r="258" spans="1:7">
      <c r="A258" t="s">
        <v>5222</v>
      </c>
      <c r="B258" t="s">
        <v>394</v>
      </c>
      <c r="C258">
        <v>1</v>
      </c>
      <c r="E258">
        <v>118591.7</v>
      </c>
      <c r="G258">
        <v>1.3</v>
      </c>
    </row>
    <row r="259" spans="1:7">
      <c r="A259" t="s">
        <v>5223</v>
      </c>
      <c r="B259" t="s">
        <v>388</v>
      </c>
      <c r="C259">
        <v>1</v>
      </c>
      <c r="E259">
        <v>118775.8</v>
      </c>
      <c r="G259">
        <v>1.3</v>
      </c>
    </row>
    <row r="260" spans="1:7">
      <c r="A260" t="s">
        <v>5224</v>
      </c>
      <c r="B260" t="s">
        <v>388</v>
      </c>
      <c r="C260">
        <v>1</v>
      </c>
      <c r="E260">
        <v>118781.9</v>
      </c>
      <c r="G260">
        <v>1.3</v>
      </c>
    </row>
    <row r="261" spans="1:7">
      <c r="A261" t="s">
        <v>5224</v>
      </c>
      <c r="B261" t="s">
        <v>394</v>
      </c>
      <c r="C261">
        <v>1</v>
      </c>
      <c r="E261">
        <v>118783.1</v>
      </c>
      <c r="G261">
        <v>1.3</v>
      </c>
    </row>
    <row r="262" spans="1:7">
      <c r="A262" t="s">
        <v>5225</v>
      </c>
      <c r="B262" t="s">
        <v>388</v>
      </c>
      <c r="C262">
        <v>1</v>
      </c>
      <c r="E262">
        <v>118911.7</v>
      </c>
      <c r="G262">
        <v>1.3</v>
      </c>
    </row>
    <row r="263" spans="1:7">
      <c r="A263" t="s">
        <v>5226</v>
      </c>
      <c r="B263" t="s">
        <v>388</v>
      </c>
      <c r="C263">
        <v>1</v>
      </c>
      <c r="E263">
        <v>118930.3</v>
      </c>
      <c r="G263">
        <v>4</v>
      </c>
    </row>
    <row r="264" spans="1:7">
      <c r="A264" t="s">
        <v>5226</v>
      </c>
      <c r="B264" t="s">
        <v>394</v>
      </c>
      <c r="C264">
        <v>1</v>
      </c>
      <c r="E264">
        <v>118931.2</v>
      </c>
      <c r="G264">
        <v>4</v>
      </c>
    </row>
    <row r="265" spans="1:7">
      <c r="A265" t="s">
        <v>5227</v>
      </c>
      <c r="B265" t="s">
        <v>388</v>
      </c>
      <c r="C265">
        <v>1</v>
      </c>
      <c r="E265">
        <v>119037.6</v>
      </c>
      <c r="G265">
        <v>1.3</v>
      </c>
    </row>
    <row r="266" spans="1:7">
      <c r="A266" t="s">
        <v>5228</v>
      </c>
      <c r="B266" t="s">
        <v>388</v>
      </c>
      <c r="C266">
        <v>1</v>
      </c>
      <c r="E266">
        <v>119136.8</v>
      </c>
      <c r="G266">
        <v>1.3</v>
      </c>
    </row>
    <row r="267" spans="1:7">
      <c r="A267" t="s">
        <v>5229</v>
      </c>
      <c r="B267" t="s">
        <v>388</v>
      </c>
      <c r="C267">
        <v>1</v>
      </c>
      <c r="E267">
        <v>119208</v>
      </c>
      <c r="G267">
        <v>1.3</v>
      </c>
    </row>
    <row r="268" spans="1:7">
      <c r="A268" t="s">
        <v>5230</v>
      </c>
      <c r="B268" t="s">
        <v>388</v>
      </c>
      <c r="C268">
        <v>1</v>
      </c>
      <c r="E268">
        <v>119271.7</v>
      </c>
      <c r="G268">
        <v>1.3</v>
      </c>
    </row>
    <row r="269" spans="1:7">
      <c r="A269" t="s">
        <v>5231</v>
      </c>
      <c r="B269" t="s">
        <v>202</v>
      </c>
      <c r="C269" t="s">
        <v>203</v>
      </c>
      <c r="E269">
        <v>119700</v>
      </c>
      <c r="G269">
        <v>1</v>
      </c>
    </row>
    <row r="270" spans="1:7">
      <c r="A270" t="s">
        <v>5232</v>
      </c>
      <c r="B270" t="s">
        <v>394</v>
      </c>
      <c r="C270">
        <v>1</v>
      </c>
      <c r="E270">
        <v>119953</v>
      </c>
      <c r="G270">
        <v>10</v>
      </c>
    </row>
    <row r="271" spans="1:7">
      <c r="A271" t="s">
        <v>5232</v>
      </c>
      <c r="B271" t="s">
        <v>388</v>
      </c>
      <c r="C271">
        <v>1</v>
      </c>
      <c r="E271">
        <v>120709</v>
      </c>
      <c r="G271">
        <v>7</v>
      </c>
    </row>
    <row r="272" spans="1:7">
      <c r="A272" t="s">
        <v>5233</v>
      </c>
      <c r="B272" t="s">
        <v>394</v>
      </c>
      <c r="C272">
        <v>1</v>
      </c>
      <c r="E272">
        <v>126973</v>
      </c>
      <c r="G272">
        <v>11</v>
      </c>
    </row>
    <row r="273" spans="1:7">
      <c r="A273" t="s">
        <v>5233</v>
      </c>
      <c r="B273" t="s">
        <v>388</v>
      </c>
      <c r="C273">
        <v>1</v>
      </c>
      <c r="E273">
        <v>127252.4</v>
      </c>
      <c r="G273">
        <v>1.5</v>
      </c>
    </row>
    <row r="274" spans="1:7">
      <c r="A274" t="s">
        <v>5234</v>
      </c>
      <c r="B274" t="s">
        <v>388</v>
      </c>
      <c r="C274">
        <v>1</v>
      </c>
      <c r="E274">
        <v>127773</v>
      </c>
      <c r="G274">
        <v>8</v>
      </c>
    </row>
    <row r="275" spans="1:7">
      <c r="A275" t="s">
        <v>5235</v>
      </c>
      <c r="B275" t="s">
        <v>394</v>
      </c>
      <c r="C275">
        <v>1</v>
      </c>
      <c r="E275">
        <v>129926</v>
      </c>
      <c r="G275">
        <v>8</v>
      </c>
    </row>
    <row r="276" spans="1:7">
      <c r="A276" t="s">
        <v>5235</v>
      </c>
      <c r="B276" t="s">
        <v>388</v>
      </c>
      <c r="C276">
        <v>1</v>
      </c>
      <c r="E276">
        <v>130047.3</v>
      </c>
      <c r="G276">
        <v>1.5</v>
      </c>
    </row>
    <row r="277" spans="1:7">
      <c r="A277" t="s">
        <v>5236</v>
      </c>
      <c r="B277" t="s">
        <v>388</v>
      </c>
      <c r="C277">
        <v>1</v>
      </c>
      <c r="E277">
        <v>130288.6</v>
      </c>
      <c r="G277">
        <v>1.5</v>
      </c>
    </row>
    <row r="278" spans="1:7">
      <c r="A278" t="s">
        <v>5237</v>
      </c>
      <c r="B278" t="s">
        <v>394</v>
      </c>
      <c r="C278">
        <v>1</v>
      </c>
      <c r="E278">
        <v>131453.70000000001</v>
      </c>
      <c r="G278">
        <v>1.6</v>
      </c>
    </row>
    <row r="279" spans="1:7">
      <c r="A279" t="s">
        <v>5237</v>
      </c>
      <c r="B279" t="s">
        <v>388</v>
      </c>
      <c r="C279">
        <v>1</v>
      </c>
      <c r="E279">
        <v>131526.70000000001</v>
      </c>
      <c r="G279">
        <v>1.6</v>
      </c>
    </row>
    <row r="280" spans="1:7">
      <c r="A280" t="s">
        <v>5238</v>
      </c>
      <c r="B280" t="s">
        <v>388</v>
      </c>
      <c r="C280">
        <v>1</v>
      </c>
      <c r="E280">
        <v>131659.20000000001</v>
      </c>
      <c r="G280">
        <v>1.6</v>
      </c>
    </row>
    <row r="281" spans="1:7">
      <c r="A281" t="s">
        <v>5239</v>
      </c>
      <c r="B281" t="s">
        <v>394</v>
      </c>
      <c r="C281">
        <v>1</v>
      </c>
      <c r="E281">
        <v>132358.6</v>
      </c>
      <c r="G281">
        <v>1.6</v>
      </c>
    </row>
    <row r="282" spans="1:7">
      <c r="A282" t="s">
        <v>5239</v>
      </c>
      <c r="B282" t="s">
        <v>388</v>
      </c>
      <c r="C282">
        <v>1</v>
      </c>
      <c r="E282">
        <v>132386</v>
      </c>
      <c r="G282">
        <v>4</v>
      </c>
    </row>
    <row r="283" spans="1:7">
      <c r="A283" t="s">
        <v>5240</v>
      </c>
      <c r="B283" t="s">
        <v>388</v>
      </c>
      <c r="C283">
        <v>1</v>
      </c>
      <c r="E283">
        <v>132487.5</v>
      </c>
      <c r="G283">
        <v>1.6</v>
      </c>
    </row>
    <row r="284" spans="1:7">
      <c r="A284" t="s">
        <v>5241</v>
      </c>
      <c r="B284" t="s">
        <v>394</v>
      </c>
      <c r="C284">
        <v>1</v>
      </c>
      <c r="E284">
        <v>132930.6</v>
      </c>
      <c r="G284">
        <v>1.6</v>
      </c>
    </row>
    <row r="285" spans="1:7">
      <c r="A285" t="s">
        <v>5241</v>
      </c>
      <c r="B285" t="s">
        <v>388</v>
      </c>
      <c r="C285">
        <v>1</v>
      </c>
      <c r="E285">
        <v>132966</v>
      </c>
      <c r="G285">
        <v>4</v>
      </c>
    </row>
    <row r="286" spans="1:7">
      <c r="A286" t="s">
        <v>5242</v>
      </c>
      <c r="B286" t="s">
        <v>388</v>
      </c>
      <c r="C286">
        <v>1</v>
      </c>
      <c r="E286">
        <v>133016.20000000001</v>
      </c>
      <c r="G286">
        <v>1.6</v>
      </c>
    </row>
    <row r="287" spans="1:7">
      <c r="A287" t="s">
        <v>5243</v>
      </c>
      <c r="B287" t="s">
        <v>394</v>
      </c>
      <c r="C287">
        <v>1</v>
      </c>
      <c r="E287">
        <v>133326.20000000001</v>
      </c>
      <c r="G287">
        <v>1.6</v>
      </c>
    </row>
    <row r="288" spans="1:7">
      <c r="A288" t="s">
        <v>5243</v>
      </c>
      <c r="B288" t="s">
        <v>388</v>
      </c>
      <c r="C288">
        <v>1</v>
      </c>
      <c r="E288">
        <v>133340</v>
      </c>
      <c r="G288">
        <v>4</v>
      </c>
    </row>
    <row r="289" spans="1:7">
      <c r="A289" t="s">
        <v>5244</v>
      </c>
      <c r="B289" t="s">
        <v>388</v>
      </c>
      <c r="C289">
        <v>1</v>
      </c>
      <c r="E289">
        <v>133366.39999999999</v>
      </c>
      <c r="G289">
        <v>1.6</v>
      </c>
    </row>
    <row r="290" spans="1:7">
      <c r="A290" t="s">
        <v>5245</v>
      </c>
      <c r="B290" t="s">
        <v>394</v>
      </c>
      <c r="C290">
        <v>1</v>
      </c>
      <c r="E290">
        <v>133597</v>
      </c>
      <c r="G290">
        <v>1.6</v>
      </c>
    </row>
    <row r="291" spans="1:7">
      <c r="A291" t="s">
        <v>5246</v>
      </c>
      <c r="B291" t="s">
        <v>388</v>
      </c>
      <c r="C291">
        <v>1</v>
      </c>
      <c r="E291">
        <v>133629.5</v>
      </c>
      <c r="G291">
        <v>1.6</v>
      </c>
    </row>
    <row r="292" spans="1:7">
      <c r="A292" t="s">
        <v>5247</v>
      </c>
      <c r="B292" t="s">
        <v>394</v>
      </c>
      <c r="C292">
        <v>1</v>
      </c>
      <c r="E292">
        <v>133812.4</v>
      </c>
      <c r="G292">
        <v>1.6</v>
      </c>
    </row>
    <row r="293" spans="1:7">
      <c r="A293" t="s">
        <v>5248</v>
      </c>
      <c r="B293" t="s">
        <v>388</v>
      </c>
      <c r="C293">
        <v>1</v>
      </c>
      <c r="E293">
        <v>133824.9</v>
      </c>
      <c r="G293">
        <v>1.6</v>
      </c>
    </row>
    <row r="294" spans="1:7">
      <c r="A294" t="s">
        <v>5249</v>
      </c>
      <c r="B294" t="s">
        <v>388</v>
      </c>
      <c r="C294">
        <v>1</v>
      </c>
      <c r="E294">
        <v>133951</v>
      </c>
      <c r="G294">
        <v>4</v>
      </c>
    </row>
    <row r="295" spans="1:7">
      <c r="A295" t="s">
        <v>5250</v>
      </c>
      <c r="B295" t="s">
        <v>394</v>
      </c>
      <c r="C295">
        <v>1</v>
      </c>
      <c r="E295">
        <v>133952.6</v>
      </c>
      <c r="G295">
        <v>1.6</v>
      </c>
    </row>
    <row r="296" spans="1:7">
      <c r="A296" t="s">
        <v>5251</v>
      </c>
      <c r="B296" t="s">
        <v>394</v>
      </c>
      <c r="C296">
        <v>1</v>
      </c>
      <c r="E296">
        <v>134078.1</v>
      </c>
      <c r="G296">
        <v>1.6</v>
      </c>
    </row>
    <row r="297" spans="1:7">
      <c r="A297" t="s">
        <v>5252</v>
      </c>
      <c r="B297" t="s">
        <v>394</v>
      </c>
      <c r="C297">
        <v>1</v>
      </c>
      <c r="E297">
        <v>134172.70000000001</v>
      </c>
      <c r="G297">
        <v>1.6</v>
      </c>
    </row>
    <row r="298" spans="1:7">
      <c r="A298" t="s">
        <v>5253</v>
      </c>
      <c r="B298" t="s">
        <v>394</v>
      </c>
      <c r="C298">
        <v>1</v>
      </c>
      <c r="E298">
        <v>134262.39999999999</v>
      </c>
      <c r="G298">
        <v>1.6</v>
      </c>
    </row>
    <row r="299" spans="1:7">
      <c r="A299" t="s">
        <v>5254</v>
      </c>
      <c r="B299" t="s">
        <v>394</v>
      </c>
      <c r="C299">
        <v>1</v>
      </c>
      <c r="E299">
        <v>134305</v>
      </c>
      <c r="G299">
        <v>5</v>
      </c>
    </row>
    <row r="300" spans="1:7">
      <c r="A300" t="s">
        <v>5255</v>
      </c>
      <c r="B300" t="s">
        <v>202</v>
      </c>
      <c r="C300" t="s">
        <v>203</v>
      </c>
      <c r="E300">
        <v>134746</v>
      </c>
      <c r="G3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F8A3-8716-41B5-A2B5-41034EECFFED}">
  <dimension ref="A1:J660"/>
  <sheetViews>
    <sheetView workbookViewId="0">
      <selection sqref="A1:J1048576"/>
    </sheetView>
  </sheetViews>
  <sheetFormatPr defaultRowHeight="15"/>
  <cols>
    <col min="1" max="1" width="20" bestFit="1" customWidth="1"/>
    <col min="2" max="2" width="6.28515625" bestFit="1" customWidth="1"/>
    <col min="3" max="3" width="3.140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8" bestFit="1" customWidth="1"/>
    <col min="9" max="9" width="38.85546875" bestFit="1" customWidth="1"/>
    <col min="10" max="10" width="16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1703</v>
      </c>
      <c r="B2" t="s">
        <v>1704</v>
      </c>
      <c r="C2">
        <v>3</v>
      </c>
      <c r="E2">
        <v>0</v>
      </c>
      <c r="G2">
        <v>1.1000000000000001E-3</v>
      </c>
      <c r="H2">
        <v>2.00183</v>
      </c>
      <c r="I2">
        <v>100</v>
      </c>
      <c r="J2" t="s">
        <v>1705</v>
      </c>
    </row>
    <row r="3" spans="1:10">
      <c r="A3" t="s">
        <v>1703</v>
      </c>
      <c r="B3" t="s">
        <v>1706</v>
      </c>
      <c r="C3">
        <v>2</v>
      </c>
      <c r="E3">
        <v>7593.1484</v>
      </c>
      <c r="G3">
        <v>1.4E-3</v>
      </c>
      <c r="H3">
        <v>2.0059999999999998</v>
      </c>
      <c r="I3">
        <v>100</v>
      </c>
      <c r="J3" t="s">
        <v>1705</v>
      </c>
    </row>
    <row r="4" spans="1:10">
      <c r="A4" t="s">
        <v>1707</v>
      </c>
      <c r="B4" t="s">
        <v>15</v>
      </c>
      <c r="C4">
        <v>0</v>
      </c>
      <c r="E4">
        <v>7750.7465000000002</v>
      </c>
      <c r="G4">
        <v>1.2999999999999999E-3</v>
      </c>
      <c r="I4" t="s">
        <v>1708</v>
      </c>
      <c r="J4" t="s">
        <v>1709</v>
      </c>
    </row>
    <row r="5" spans="1:10">
      <c r="A5" t="s">
        <v>1707</v>
      </c>
      <c r="B5" t="s">
        <v>15</v>
      </c>
      <c r="C5">
        <v>1</v>
      </c>
      <c r="E5">
        <v>7810.7794999999996</v>
      </c>
      <c r="G5">
        <v>1.1000000000000001E-3</v>
      </c>
      <c r="H5">
        <v>1.5005999999999999</v>
      </c>
      <c r="I5" t="s">
        <v>1708</v>
      </c>
      <c r="J5" t="s">
        <v>1705</v>
      </c>
    </row>
    <row r="6" spans="1:10">
      <c r="A6" t="s">
        <v>1707</v>
      </c>
      <c r="B6" t="s">
        <v>15</v>
      </c>
      <c r="C6">
        <v>2</v>
      </c>
      <c r="E6">
        <v>7927.4409999999998</v>
      </c>
      <c r="G6">
        <v>1.1000000000000001E-3</v>
      </c>
      <c r="H6">
        <v>1.5005999999999999</v>
      </c>
      <c r="I6" t="s">
        <v>1708</v>
      </c>
      <c r="J6" t="s">
        <v>1705</v>
      </c>
    </row>
    <row r="7" spans="1:10">
      <c r="A7" t="s">
        <v>1707</v>
      </c>
      <c r="B7" t="s">
        <v>15</v>
      </c>
      <c r="C7">
        <v>3</v>
      </c>
      <c r="E7">
        <v>8095.1841999999997</v>
      </c>
      <c r="G7">
        <v>1.1000000000000001E-3</v>
      </c>
      <c r="H7">
        <v>1.5005999999999999</v>
      </c>
      <c r="I7" t="s">
        <v>1708</v>
      </c>
      <c r="J7" t="s">
        <v>1705</v>
      </c>
    </row>
    <row r="8" spans="1:10">
      <c r="A8" t="s">
        <v>1707</v>
      </c>
      <c r="B8" t="s">
        <v>15</v>
      </c>
      <c r="C8">
        <v>4</v>
      </c>
      <c r="E8">
        <v>8307.5753000000004</v>
      </c>
      <c r="G8">
        <v>1.1999999999999999E-3</v>
      </c>
      <c r="H8">
        <v>1.5005999999999999</v>
      </c>
      <c r="I8" t="s">
        <v>1708</v>
      </c>
      <c r="J8" t="s">
        <v>1705</v>
      </c>
    </row>
    <row r="9" spans="1:10">
      <c r="A9" t="s">
        <v>1710</v>
      </c>
      <c r="B9" t="s">
        <v>1711</v>
      </c>
      <c r="C9">
        <v>2</v>
      </c>
      <c r="E9">
        <v>20517.422200000001</v>
      </c>
      <c r="G9">
        <v>1.1999999999999999E-3</v>
      </c>
      <c r="H9">
        <v>0.37</v>
      </c>
      <c r="I9">
        <v>100</v>
      </c>
      <c r="J9" t="s">
        <v>1705</v>
      </c>
    </row>
    <row r="10" spans="1:10">
      <c r="A10" t="s">
        <v>1710</v>
      </c>
      <c r="B10" t="s">
        <v>1711</v>
      </c>
      <c r="C10">
        <v>6</v>
      </c>
      <c r="E10">
        <v>20519.551500000001</v>
      </c>
      <c r="G10">
        <v>1.4E-3</v>
      </c>
      <c r="H10">
        <v>1.33</v>
      </c>
      <c r="I10">
        <v>100</v>
      </c>
      <c r="J10" t="s">
        <v>1705</v>
      </c>
    </row>
    <row r="11" spans="1:10">
      <c r="A11" t="s">
        <v>1710</v>
      </c>
      <c r="B11" t="s">
        <v>1711</v>
      </c>
      <c r="C11">
        <v>3</v>
      </c>
      <c r="E11">
        <v>20520.902900000001</v>
      </c>
      <c r="G11">
        <v>1.1999999999999999E-3</v>
      </c>
      <c r="H11">
        <v>0.93</v>
      </c>
      <c r="I11">
        <v>100</v>
      </c>
      <c r="J11" t="s">
        <v>1705</v>
      </c>
    </row>
    <row r="12" spans="1:10">
      <c r="A12" t="s">
        <v>1710</v>
      </c>
      <c r="B12" t="s">
        <v>1711</v>
      </c>
      <c r="C12">
        <v>4</v>
      </c>
      <c r="E12">
        <v>20523.629000000001</v>
      </c>
      <c r="G12">
        <v>1.2999999999999999E-3</v>
      </c>
      <c r="H12">
        <v>1.1299999999999999</v>
      </c>
      <c r="I12">
        <v>100</v>
      </c>
      <c r="J12" t="s">
        <v>1705</v>
      </c>
    </row>
    <row r="13" spans="1:10">
      <c r="A13" t="s">
        <v>1710</v>
      </c>
      <c r="B13" t="s">
        <v>1711</v>
      </c>
      <c r="C13">
        <v>5</v>
      </c>
      <c r="E13">
        <v>20523.8999</v>
      </c>
      <c r="G13">
        <v>1.4E-3</v>
      </c>
      <c r="H13">
        <v>1.25</v>
      </c>
      <c r="I13">
        <v>100</v>
      </c>
      <c r="J13" t="s">
        <v>1705</v>
      </c>
    </row>
    <row r="14" spans="1:10">
      <c r="A14" t="s">
        <v>1712</v>
      </c>
      <c r="B14" t="s">
        <v>17</v>
      </c>
      <c r="C14">
        <v>3</v>
      </c>
      <c r="E14">
        <v>21840.809600000001</v>
      </c>
      <c r="G14">
        <v>1.1999999999999999E-3</v>
      </c>
      <c r="H14">
        <v>1.6</v>
      </c>
      <c r="I14">
        <v>98</v>
      </c>
      <c r="J14" t="s">
        <v>1705</v>
      </c>
    </row>
    <row r="15" spans="1:10">
      <c r="A15" t="s">
        <v>1712</v>
      </c>
      <c r="B15" t="s">
        <v>17</v>
      </c>
      <c r="C15">
        <v>2</v>
      </c>
      <c r="E15">
        <v>21847.834900000002</v>
      </c>
      <c r="G15">
        <v>1.1999999999999999E-3</v>
      </c>
      <c r="H15">
        <v>1.847</v>
      </c>
      <c r="I15">
        <v>98</v>
      </c>
      <c r="J15" t="s">
        <v>1705</v>
      </c>
    </row>
    <row r="16" spans="1:10">
      <c r="A16" t="s">
        <v>1712</v>
      </c>
      <c r="B16" t="s">
        <v>17</v>
      </c>
      <c r="C16">
        <v>1</v>
      </c>
      <c r="E16">
        <v>21856.9287</v>
      </c>
      <c r="G16">
        <v>1.1000000000000001E-3</v>
      </c>
      <c r="H16">
        <v>2.5</v>
      </c>
      <c r="I16">
        <v>100</v>
      </c>
      <c r="J16" t="s">
        <v>1705</v>
      </c>
    </row>
    <row r="17" spans="1:10">
      <c r="A17" t="s">
        <v>1707</v>
      </c>
      <c r="B17" t="s">
        <v>21</v>
      </c>
      <c r="C17">
        <v>0</v>
      </c>
      <c r="E17">
        <v>23163.220499999999</v>
      </c>
      <c r="G17">
        <v>1.8E-3</v>
      </c>
      <c r="I17" t="s">
        <v>1708</v>
      </c>
      <c r="J17" t="s">
        <v>1709</v>
      </c>
    </row>
    <row r="18" spans="1:10">
      <c r="A18" t="s">
        <v>1707</v>
      </c>
      <c r="B18" t="s">
        <v>21</v>
      </c>
      <c r="C18">
        <v>1</v>
      </c>
      <c r="E18">
        <v>23511.973900000001</v>
      </c>
      <c r="G18">
        <v>1.4E-3</v>
      </c>
      <c r="I18" t="s">
        <v>1708</v>
      </c>
      <c r="J18" t="s">
        <v>1709</v>
      </c>
    </row>
    <row r="19" spans="1:10">
      <c r="A19" t="s">
        <v>1707</v>
      </c>
      <c r="B19" t="s">
        <v>21</v>
      </c>
      <c r="C19">
        <v>2</v>
      </c>
      <c r="E19">
        <v>24093.118200000001</v>
      </c>
      <c r="G19">
        <v>1.4E-3</v>
      </c>
      <c r="I19" t="s">
        <v>1708</v>
      </c>
      <c r="J19" t="s">
        <v>1709</v>
      </c>
    </row>
    <row r="20" spans="1:10">
      <c r="A20" t="s">
        <v>1713</v>
      </c>
      <c r="B20" t="s">
        <v>53</v>
      </c>
      <c r="C20">
        <v>2</v>
      </c>
      <c r="E20">
        <v>23305.0026</v>
      </c>
      <c r="G20">
        <v>1.5E-3</v>
      </c>
      <c r="H20">
        <v>2.3340000000000001</v>
      </c>
      <c r="I20" t="s">
        <v>1714</v>
      </c>
      <c r="J20" t="s">
        <v>1705</v>
      </c>
    </row>
    <row r="21" spans="1:10">
      <c r="A21" t="s">
        <v>1713</v>
      </c>
      <c r="B21" t="s">
        <v>53</v>
      </c>
      <c r="C21">
        <v>3</v>
      </c>
      <c r="E21">
        <v>23386.341899999999</v>
      </c>
      <c r="G21">
        <v>1.4E-3</v>
      </c>
      <c r="H21">
        <v>1.9176</v>
      </c>
      <c r="I21" t="s">
        <v>1714</v>
      </c>
      <c r="J21" t="s">
        <v>1705</v>
      </c>
    </row>
    <row r="22" spans="1:10">
      <c r="A22" t="s">
        <v>1713</v>
      </c>
      <c r="B22" t="s">
        <v>53</v>
      </c>
      <c r="C22">
        <v>4</v>
      </c>
      <c r="E22">
        <v>23498.815600000002</v>
      </c>
      <c r="G22">
        <v>1.4E-3</v>
      </c>
      <c r="H22">
        <v>1.7509999999999999</v>
      </c>
      <c r="I22" t="s">
        <v>1715</v>
      </c>
      <c r="J22" t="s">
        <v>1705</v>
      </c>
    </row>
    <row r="23" spans="1:10">
      <c r="A23" t="s">
        <v>1707</v>
      </c>
      <c r="B23" t="s">
        <v>29</v>
      </c>
      <c r="C23">
        <v>4</v>
      </c>
      <c r="E23">
        <v>23933.856100000001</v>
      </c>
      <c r="G23">
        <v>1.5E-3</v>
      </c>
      <c r="I23" t="s">
        <v>1708</v>
      </c>
      <c r="J23" t="s">
        <v>1709</v>
      </c>
    </row>
    <row r="24" spans="1:10">
      <c r="A24" t="s">
        <v>1707</v>
      </c>
      <c r="B24" t="s">
        <v>29</v>
      </c>
      <c r="C24">
        <v>5</v>
      </c>
      <c r="E24">
        <v>24056.040400000002</v>
      </c>
      <c r="G24">
        <v>1.4E-3</v>
      </c>
      <c r="I24" t="s">
        <v>1708</v>
      </c>
      <c r="J24" t="s">
        <v>1709</v>
      </c>
    </row>
    <row r="25" spans="1:10">
      <c r="A25" t="s">
        <v>1707</v>
      </c>
      <c r="B25" t="s">
        <v>29</v>
      </c>
      <c r="C25">
        <v>6</v>
      </c>
      <c r="E25">
        <v>24200.198</v>
      </c>
      <c r="G25">
        <v>1.4E-3</v>
      </c>
      <c r="I25" t="s">
        <v>1708</v>
      </c>
      <c r="J25" t="s">
        <v>1709</v>
      </c>
    </row>
    <row r="26" spans="1:10">
      <c r="A26" t="s">
        <v>1716</v>
      </c>
      <c r="B26" t="s">
        <v>1717</v>
      </c>
      <c r="C26">
        <v>0</v>
      </c>
      <c r="E26">
        <v>24277.054599999999</v>
      </c>
      <c r="G26">
        <v>1.5E-3</v>
      </c>
      <c r="I26">
        <v>100</v>
      </c>
      <c r="J26" t="s">
        <v>1705</v>
      </c>
    </row>
    <row r="27" spans="1:10">
      <c r="A27" t="s">
        <v>1716</v>
      </c>
      <c r="B27" t="s">
        <v>1717</v>
      </c>
      <c r="C27">
        <v>4</v>
      </c>
      <c r="E27">
        <v>24282.348600000001</v>
      </c>
      <c r="G27">
        <v>1.1999999999999999E-3</v>
      </c>
      <c r="H27">
        <v>1.51</v>
      </c>
      <c r="I27">
        <v>100</v>
      </c>
      <c r="J27" t="s">
        <v>1705</v>
      </c>
    </row>
    <row r="28" spans="1:10">
      <c r="A28" t="s">
        <v>1716</v>
      </c>
      <c r="B28" t="s">
        <v>1717</v>
      </c>
      <c r="C28">
        <v>1</v>
      </c>
      <c r="E28">
        <v>24286.541799999999</v>
      </c>
      <c r="G28">
        <v>1.1999999999999999E-3</v>
      </c>
      <c r="H28">
        <v>1.48</v>
      </c>
      <c r="I28">
        <v>100</v>
      </c>
      <c r="J28" t="s">
        <v>1705</v>
      </c>
    </row>
    <row r="29" spans="1:10">
      <c r="A29" t="s">
        <v>1716</v>
      </c>
      <c r="B29" t="s">
        <v>1717</v>
      </c>
      <c r="C29">
        <v>2</v>
      </c>
      <c r="E29">
        <v>24299.841899999999</v>
      </c>
      <c r="G29">
        <v>1.1999999999999999E-3</v>
      </c>
      <c r="H29">
        <v>1.51</v>
      </c>
      <c r="I29">
        <v>98</v>
      </c>
      <c r="J29" t="s">
        <v>1705</v>
      </c>
    </row>
    <row r="30" spans="1:10">
      <c r="A30" t="s">
        <v>1716</v>
      </c>
      <c r="B30" t="s">
        <v>1717</v>
      </c>
      <c r="C30">
        <v>3</v>
      </c>
      <c r="E30">
        <v>24303.9025</v>
      </c>
      <c r="G30">
        <v>1.1999999999999999E-3</v>
      </c>
      <c r="H30">
        <v>1.55</v>
      </c>
      <c r="I30">
        <v>98</v>
      </c>
      <c r="J30" t="s">
        <v>1705</v>
      </c>
    </row>
    <row r="31" spans="1:10">
      <c r="A31" t="s">
        <v>1710</v>
      </c>
      <c r="B31" t="s">
        <v>23</v>
      </c>
      <c r="C31">
        <v>3</v>
      </c>
      <c r="E31">
        <v>24833.795699999999</v>
      </c>
      <c r="G31">
        <v>1.4E-3</v>
      </c>
      <c r="I31">
        <v>100</v>
      </c>
      <c r="J31" t="s">
        <v>1705</v>
      </c>
    </row>
    <row r="32" spans="1:10">
      <c r="A32" t="s">
        <v>1710</v>
      </c>
      <c r="B32" t="s">
        <v>23</v>
      </c>
      <c r="C32">
        <v>4</v>
      </c>
      <c r="E32">
        <v>24897.463500000002</v>
      </c>
      <c r="G32">
        <v>1.4E-3</v>
      </c>
      <c r="I32">
        <v>100</v>
      </c>
      <c r="J32" t="s">
        <v>1705</v>
      </c>
    </row>
    <row r="33" spans="1:10">
      <c r="A33" t="s">
        <v>1710</v>
      </c>
      <c r="B33" t="s">
        <v>23</v>
      </c>
      <c r="C33">
        <v>5</v>
      </c>
      <c r="E33">
        <v>25038.498100000001</v>
      </c>
      <c r="G33">
        <v>1.4E-3</v>
      </c>
      <c r="I33">
        <v>100</v>
      </c>
      <c r="J33" t="s">
        <v>1705</v>
      </c>
    </row>
    <row r="34" spans="1:10">
      <c r="A34" t="s">
        <v>1707</v>
      </c>
      <c r="B34" t="s">
        <v>13</v>
      </c>
      <c r="C34">
        <v>2</v>
      </c>
      <c r="E34">
        <v>24940.594000000001</v>
      </c>
      <c r="G34">
        <v>2.2000000000000001E-3</v>
      </c>
      <c r="I34" t="s">
        <v>1708</v>
      </c>
      <c r="J34" t="s">
        <v>1709</v>
      </c>
    </row>
    <row r="35" spans="1:10">
      <c r="A35" t="s">
        <v>1707</v>
      </c>
      <c r="B35" t="s">
        <v>13</v>
      </c>
      <c r="C35">
        <v>3</v>
      </c>
      <c r="E35">
        <v>25106.295300000002</v>
      </c>
      <c r="G35">
        <v>1.5E-3</v>
      </c>
      <c r="I35" t="s">
        <v>1708</v>
      </c>
      <c r="J35" t="s">
        <v>1709</v>
      </c>
    </row>
    <row r="36" spans="1:10">
      <c r="A36" t="s">
        <v>1707</v>
      </c>
      <c r="B36" t="s">
        <v>13</v>
      </c>
      <c r="C36">
        <v>4</v>
      </c>
      <c r="E36">
        <v>25177.353899999998</v>
      </c>
      <c r="G36">
        <v>1.4E-3</v>
      </c>
      <c r="I36" t="s">
        <v>1708</v>
      </c>
      <c r="J36" t="s">
        <v>1709</v>
      </c>
    </row>
    <row r="37" spans="1:10">
      <c r="A37" t="s">
        <v>1718</v>
      </c>
      <c r="B37" t="s">
        <v>51</v>
      </c>
      <c r="C37">
        <v>0</v>
      </c>
      <c r="E37">
        <v>24971.092000000001</v>
      </c>
      <c r="G37">
        <v>3.0000000000000001E-3</v>
      </c>
      <c r="I37">
        <v>100</v>
      </c>
      <c r="J37" t="s">
        <v>1705</v>
      </c>
    </row>
    <row r="38" spans="1:10">
      <c r="A38" t="s">
        <v>1718</v>
      </c>
      <c r="B38" t="s">
        <v>51</v>
      </c>
      <c r="C38">
        <v>1</v>
      </c>
      <c r="E38">
        <v>25010.6397</v>
      </c>
      <c r="G38">
        <v>2E-3</v>
      </c>
      <c r="H38">
        <v>1.52</v>
      </c>
      <c r="I38">
        <v>100</v>
      </c>
      <c r="J38" t="s">
        <v>1705</v>
      </c>
    </row>
    <row r="39" spans="1:10">
      <c r="A39" t="s">
        <v>1718</v>
      </c>
      <c r="B39" t="s">
        <v>51</v>
      </c>
      <c r="C39">
        <v>2</v>
      </c>
      <c r="E39">
        <v>25089.2497</v>
      </c>
      <c r="G39">
        <v>2E-3</v>
      </c>
      <c r="H39">
        <v>1.5</v>
      </c>
      <c r="I39">
        <v>100</v>
      </c>
      <c r="J39" t="s">
        <v>1705</v>
      </c>
    </row>
    <row r="40" spans="1:10">
      <c r="A40" t="s">
        <v>1718</v>
      </c>
      <c r="B40" t="s">
        <v>51</v>
      </c>
      <c r="C40">
        <v>3</v>
      </c>
      <c r="E40">
        <v>25205.998</v>
      </c>
      <c r="G40">
        <v>2E-3</v>
      </c>
      <c r="H40">
        <v>1.49</v>
      </c>
      <c r="I40">
        <v>100</v>
      </c>
      <c r="J40" t="s">
        <v>1705</v>
      </c>
    </row>
    <row r="41" spans="1:10">
      <c r="A41" t="s">
        <v>1718</v>
      </c>
      <c r="B41" t="s">
        <v>51</v>
      </c>
      <c r="C41">
        <v>4</v>
      </c>
      <c r="E41">
        <v>25359.614099999999</v>
      </c>
      <c r="G41">
        <v>1.9E-3</v>
      </c>
      <c r="H41">
        <v>1.51</v>
      </c>
      <c r="I41">
        <v>100</v>
      </c>
      <c r="J41" t="s">
        <v>1705</v>
      </c>
    </row>
    <row r="42" spans="1:10">
      <c r="A42" t="s">
        <v>1718</v>
      </c>
      <c r="B42" t="s">
        <v>51</v>
      </c>
      <c r="C42">
        <v>5</v>
      </c>
      <c r="E42">
        <v>25548.6093</v>
      </c>
      <c r="G42">
        <v>1.9E-3</v>
      </c>
      <c r="H42">
        <v>1.51</v>
      </c>
      <c r="I42">
        <v>100</v>
      </c>
      <c r="J42" t="s">
        <v>1705</v>
      </c>
    </row>
    <row r="43" spans="1:10">
      <c r="A43" t="s">
        <v>1718</v>
      </c>
      <c r="B43" t="s">
        <v>51</v>
      </c>
      <c r="C43">
        <v>6</v>
      </c>
      <c r="E43">
        <v>25771.417000000001</v>
      </c>
      <c r="G43">
        <v>3.0000000000000001E-3</v>
      </c>
      <c r="H43">
        <v>1.53</v>
      </c>
      <c r="I43">
        <v>100</v>
      </c>
      <c r="J43" t="s">
        <v>1705</v>
      </c>
    </row>
    <row r="44" spans="1:10">
      <c r="A44" t="s">
        <v>1713</v>
      </c>
      <c r="B44" t="s">
        <v>59</v>
      </c>
      <c r="C44">
        <v>3</v>
      </c>
      <c r="E44">
        <v>26787.464</v>
      </c>
      <c r="G44">
        <v>1.1000000000000001E-3</v>
      </c>
      <c r="H44">
        <v>1.67</v>
      </c>
      <c r="I44">
        <v>92</v>
      </c>
      <c r="J44" t="s">
        <v>1705</v>
      </c>
    </row>
    <row r="45" spans="1:10">
      <c r="A45" t="s">
        <v>1713</v>
      </c>
      <c r="B45" t="s">
        <v>59</v>
      </c>
      <c r="C45">
        <v>2</v>
      </c>
      <c r="E45">
        <v>26796.269100000001</v>
      </c>
      <c r="G45">
        <v>1.1000000000000001E-3</v>
      </c>
      <c r="H45">
        <v>1.83</v>
      </c>
      <c r="I45">
        <v>91</v>
      </c>
      <c r="J45" t="s">
        <v>1705</v>
      </c>
    </row>
    <row r="46" spans="1:10">
      <c r="A46" t="s">
        <v>1713</v>
      </c>
      <c r="B46" t="s">
        <v>59</v>
      </c>
      <c r="C46">
        <v>1</v>
      </c>
      <c r="E46">
        <v>26801.900900000001</v>
      </c>
      <c r="G46">
        <v>1.1000000000000001E-3</v>
      </c>
      <c r="H46">
        <v>2.512</v>
      </c>
      <c r="I46">
        <v>92</v>
      </c>
      <c r="J46" t="s">
        <v>1705</v>
      </c>
    </row>
    <row r="47" spans="1:10">
      <c r="A47" t="s">
        <v>1712</v>
      </c>
      <c r="B47" t="s">
        <v>24</v>
      </c>
      <c r="C47">
        <v>0</v>
      </c>
      <c r="E47">
        <v>27163.105200000002</v>
      </c>
      <c r="G47">
        <v>1.4E-3</v>
      </c>
      <c r="I47">
        <v>100</v>
      </c>
      <c r="J47" t="s">
        <v>1705</v>
      </c>
    </row>
    <row r="48" spans="1:10">
      <c r="A48" t="s">
        <v>1712</v>
      </c>
      <c r="B48" t="s">
        <v>24</v>
      </c>
      <c r="C48">
        <v>1</v>
      </c>
      <c r="E48">
        <v>27176.107199999999</v>
      </c>
      <c r="G48">
        <v>1.2999999999999999E-3</v>
      </c>
      <c r="I48">
        <v>100</v>
      </c>
      <c r="J48" t="s">
        <v>1705</v>
      </c>
    </row>
    <row r="49" spans="1:10">
      <c r="A49" t="s">
        <v>1712</v>
      </c>
      <c r="B49" t="s">
        <v>24</v>
      </c>
      <c r="C49">
        <v>2</v>
      </c>
      <c r="E49">
        <v>27222.941699999999</v>
      </c>
      <c r="G49">
        <v>1.2999999999999999E-3</v>
      </c>
      <c r="I49">
        <v>98</v>
      </c>
      <c r="J49" t="s">
        <v>1705</v>
      </c>
    </row>
    <row r="50" spans="1:10">
      <c r="A50" t="s">
        <v>1718</v>
      </c>
      <c r="B50" t="s">
        <v>42</v>
      </c>
      <c r="C50">
        <v>1</v>
      </c>
      <c r="E50">
        <v>27300.1433</v>
      </c>
      <c r="G50">
        <v>1.2999999999999999E-3</v>
      </c>
      <c r="H50">
        <v>3.01</v>
      </c>
      <c r="I50">
        <v>99</v>
      </c>
      <c r="J50" t="s">
        <v>1705</v>
      </c>
    </row>
    <row r="51" spans="1:10">
      <c r="A51" t="s">
        <v>1718</v>
      </c>
      <c r="B51" t="s">
        <v>42</v>
      </c>
      <c r="C51">
        <v>2</v>
      </c>
      <c r="E51">
        <v>27382.173900000002</v>
      </c>
      <c r="G51">
        <v>1.2999999999999999E-3</v>
      </c>
      <c r="H51">
        <v>1.99</v>
      </c>
      <c r="I51">
        <v>99</v>
      </c>
      <c r="J51" t="s">
        <v>1705</v>
      </c>
    </row>
    <row r="52" spans="1:10">
      <c r="A52" t="s">
        <v>1718</v>
      </c>
      <c r="B52" t="s">
        <v>42</v>
      </c>
      <c r="C52">
        <v>3</v>
      </c>
      <c r="E52">
        <v>27500.369900000002</v>
      </c>
      <c r="G52">
        <v>1.4E-3</v>
      </c>
      <c r="H52">
        <v>1.76</v>
      </c>
      <c r="I52">
        <v>99</v>
      </c>
      <c r="J52" t="s">
        <v>1705</v>
      </c>
    </row>
    <row r="53" spans="1:10">
      <c r="A53" t="s">
        <v>1718</v>
      </c>
      <c r="B53" t="s">
        <v>42</v>
      </c>
      <c r="C53">
        <v>4</v>
      </c>
      <c r="E53">
        <v>27649.696</v>
      </c>
      <c r="G53">
        <v>1.2999999999999999E-3</v>
      </c>
      <c r="H53">
        <v>1.66</v>
      </c>
      <c r="I53">
        <v>99</v>
      </c>
      <c r="J53" t="s">
        <v>1705</v>
      </c>
    </row>
    <row r="54" spans="1:10">
      <c r="A54" t="s">
        <v>1718</v>
      </c>
      <c r="B54" t="s">
        <v>42</v>
      </c>
      <c r="C54">
        <v>5</v>
      </c>
      <c r="E54">
        <v>27825.3207</v>
      </c>
      <c r="G54">
        <v>1.6999999999999999E-3</v>
      </c>
      <c r="H54">
        <v>1.61</v>
      </c>
      <c r="I54">
        <v>100</v>
      </c>
      <c r="J54" t="s">
        <v>1705</v>
      </c>
    </row>
    <row r="55" spans="1:10">
      <c r="A55" t="s">
        <v>1707</v>
      </c>
      <c r="B55" t="s">
        <v>43</v>
      </c>
      <c r="C55">
        <v>3</v>
      </c>
      <c r="E55">
        <v>27597.240900000001</v>
      </c>
      <c r="G55">
        <v>1.4E-3</v>
      </c>
      <c r="I55" t="s">
        <v>1708</v>
      </c>
      <c r="J55" t="s">
        <v>1709</v>
      </c>
    </row>
    <row r="56" spans="1:10">
      <c r="A56" t="s">
        <v>1707</v>
      </c>
      <c r="B56" t="s">
        <v>43</v>
      </c>
      <c r="C56">
        <v>4</v>
      </c>
      <c r="E56">
        <v>27703.774300000001</v>
      </c>
      <c r="G56">
        <v>1.2999999999999999E-3</v>
      </c>
      <c r="I56" t="s">
        <v>1708</v>
      </c>
      <c r="J56" t="s">
        <v>1709</v>
      </c>
    </row>
    <row r="57" spans="1:10">
      <c r="A57" t="s">
        <v>1707</v>
      </c>
      <c r="B57" t="s">
        <v>43</v>
      </c>
      <c r="C57">
        <v>5</v>
      </c>
      <c r="E57">
        <v>27816.778300000002</v>
      </c>
      <c r="G57">
        <v>1.4E-3</v>
      </c>
      <c r="I57" t="s">
        <v>1708</v>
      </c>
      <c r="J57" t="s">
        <v>1709</v>
      </c>
    </row>
    <row r="58" spans="1:10">
      <c r="A58" t="s">
        <v>1718</v>
      </c>
      <c r="B58" t="s">
        <v>1719</v>
      </c>
      <c r="C58">
        <v>2</v>
      </c>
      <c r="E58">
        <v>27728.811000000002</v>
      </c>
      <c r="G58">
        <v>1.2999999999999999E-3</v>
      </c>
      <c r="H58">
        <v>2.3410000000000002</v>
      </c>
      <c r="I58" t="s">
        <v>1720</v>
      </c>
      <c r="J58" t="s">
        <v>1705</v>
      </c>
    </row>
    <row r="59" spans="1:10">
      <c r="A59" t="s">
        <v>1718</v>
      </c>
      <c r="B59" t="s">
        <v>1719</v>
      </c>
      <c r="C59">
        <v>3</v>
      </c>
      <c r="E59">
        <v>27820.197499999998</v>
      </c>
      <c r="G59">
        <v>1.2999999999999999E-3</v>
      </c>
      <c r="H59">
        <v>1.929</v>
      </c>
      <c r="I59" t="s">
        <v>1720</v>
      </c>
      <c r="J59" t="s">
        <v>1705</v>
      </c>
    </row>
    <row r="60" spans="1:10">
      <c r="A60" t="s">
        <v>1718</v>
      </c>
      <c r="B60" t="s">
        <v>1719</v>
      </c>
      <c r="C60">
        <v>4</v>
      </c>
      <c r="E60">
        <v>27935.2412</v>
      </c>
      <c r="G60">
        <v>1.6000000000000001E-3</v>
      </c>
      <c r="H60">
        <v>1.7609999999999999</v>
      </c>
      <c r="I60" t="s">
        <v>1721</v>
      </c>
      <c r="J60" t="s">
        <v>1705</v>
      </c>
    </row>
    <row r="61" spans="1:10">
      <c r="A61" t="s">
        <v>1716</v>
      </c>
      <c r="B61" t="s">
        <v>27</v>
      </c>
      <c r="C61">
        <v>3</v>
      </c>
      <c r="E61">
        <v>28636.963400000001</v>
      </c>
      <c r="G61">
        <v>1.2999999999999999E-3</v>
      </c>
      <c r="I61">
        <v>100</v>
      </c>
      <c r="J61" t="s">
        <v>1705</v>
      </c>
    </row>
    <row r="62" spans="1:10">
      <c r="A62" t="s">
        <v>1716</v>
      </c>
      <c r="B62" t="s">
        <v>27</v>
      </c>
      <c r="C62">
        <v>1</v>
      </c>
      <c r="E62">
        <v>28679.423900000002</v>
      </c>
      <c r="G62">
        <v>1.4E-3</v>
      </c>
      <c r="I62">
        <v>100</v>
      </c>
      <c r="J62" t="s">
        <v>1705</v>
      </c>
    </row>
    <row r="63" spans="1:10">
      <c r="A63" t="s">
        <v>1716</v>
      </c>
      <c r="B63" t="s">
        <v>27</v>
      </c>
      <c r="C63">
        <v>2</v>
      </c>
      <c r="E63">
        <v>28682.205000000002</v>
      </c>
      <c r="G63">
        <v>1.2999999999999999E-3</v>
      </c>
      <c r="I63">
        <v>98</v>
      </c>
      <c r="J63" t="s">
        <v>1705</v>
      </c>
    </row>
    <row r="64" spans="1:10">
      <c r="A64" t="s">
        <v>1718</v>
      </c>
      <c r="B64" t="s">
        <v>68</v>
      </c>
      <c r="C64">
        <v>1</v>
      </c>
      <c r="E64">
        <v>29420.8645</v>
      </c>
      <c r="G64">
        <v>1.1999999999999999E-3</v>
      </c>
      <c r="H64">
        <v>2.5129999999999999</v>
      </c>
      <c r="I64">
        <v>95</v>
      </c>
      <c r="J64" t="s">
        <v>1705</v>
      </c>
    </row>
    <row r="65" spans="1:10">
      <c r="A65" t="s">
        <v>1718</v>
      </c>
      <c r="B65" t="s">
        <v>68</v>
      </c>
      <c r="C65">
        <v>2</v>
      </c>
      <c r="E65">
        <v>29584.570800000001</v>
      </c>
      <c r="G65">
        <v>1.1000000000000001E-3</v>
      </c>
      <c r="H65">
        <v>1.8360000000000001</v>
      </c>
      <c r="I65">
        <v>95</v>
      </c>
      <c r="J65" t="s">
        <v>1705</v>
      </c>
    </row>
    <row r="66" spans="1:10">
      <c r="A66" t="s">
        <v>1718</v>
      </c>
      <c r="B66" t="s">
        <v>68</v>
      </c>
      <c r="C66">
        <v>3</v>
      </c>
      <c r="E66">
        <v>29824.690900000001</v>
      </c>
      <c r="G66">
        <v>1.1999999999999999E-3</v>
      </c>
      <c r="H66">
        <v>1.669</v>
      </c>
      <c r="I66">
        <v>96</v>
      </c>
      <c r="J66" t="s">
        <v>1705</v>
      </c>
    </row>
    <row r="67" spans="1:10">
      <c r="A67" t="s">
        <v>1718</v>
      </c>
      <c r="B67" t="s">
        <v>46</v>
      </c>
      <c r="C67">
        <v>1</v>
      </c>
      <c r="E67">
        <v>30787.2817</v>
      </c>
      <c r="G67">
        <v>1.2999999999999999E-3</v>
      </c>
      <c r="H67">
        <v>2E-3</v>
      </c>
      <c r="I67">
        <v>96</v>
      </c>
      <c r="J67" t="s">
        <v>1705</v>
      </c>
    </row>
    <row r="68" spans="1:10">
      <c r="A68" t="s">
        <v>1718</v>
      </c>
      <c r="B68" t="s">
        <v>46</v>
      </c>
      <c r="C68">
        <v>2</v>
      </c>
      <c r="E68">
        <v>30858.7516</v>
      </c>
      <c r="G68">
        <v>1.1999999999999999E-3</v>
      </c>
      <c r="H68">
        <v>0.997</v>
      </c>
      <c r="I68">
        <v>96</v>
      </c>
      <c r="J68" t="s">
        <v>1705</v>
      </c>
    </row>
    <row r="69" spans="1:10">
      <c r="A69" t="s">
        <v>1718</v>
      </c>
      <c r="B69" t="s">
        <v>46</v>
      </c>
      <c r="C69">
        <v>3</v>
      </c>
      <c r="E69">
        <v>30965.3799</v>
      </c>
      <c r="G69">
        <v>1.1999999999999999E-3</v>
      </c>
      <c r="H69">
        <v>1.2450000000000001</v>
      </c>
      <c r="I69">
        <v>96</v>
      </c>
      <c r="J69" t="s">
        <v>1705</v>
      </c>
    </row>
    <row r="70" spans="1:10">
      <c r="A70" t="s">
        <v>1718</v>
      </c>
      <c r="B70" t="s">
        <v>46</v>
      </c>
      <c r="C70">
        <v>4</v>
      </c>
      <c r="E70">
        <v>31106.316999999999</v>
      </c>
      <c r="G70">
        <v>1.6000000000000001E-3</v>
      </c>
      <c r="H70">
        <v>1.345</v>
      </c>
      <c r="I70">
        <v>95</v>
      </c>
      <c r="J70" t="s">
        <v>1705</v>
      </c>
    </row>
    <row r="71" spans="1:10">
      <c r="A71" t="s">
        <v>1718</v>
      </c>
      <c r="B71" t="s">
        <v>46</v>
      </c>
      <c r="C71">
        <v>5</v>
      </c>
      <c r="E71">
        <v>31280.314699999999</v>
      </c>
      <c r="G71">
        <v>1.4E-3</v>
      </c>
      <c r="H71">
        <v>1.3959999999999999</v>
      </c>
      <c r="I71">
        <v>96</v>
      </c>
      <c r="J71" t="s">
        <v>1705</v>
      </c>
    </row>
    <row r="72" spans="1:10">
      <c r="A72" t="s">
        <v>1722</v>
      </c>
      <c r="B72" t="s">
        <v>52</v>
      </c>
      <c r="C72">
        <v>3</v>
      </c>
      <c r="E72">
        <v>31008.970799999999</v>
      </c>
      <c r="G72">
        <v>1.5E-3</v>
      </c>
      <c r="I72" t="s">
        <v>1723</v>
      </c>
      <c r="J72" t="s">
        <v>1705</v>
      </c>
    </row>
    <row r="73" spans="1:10">
      <c r="A73" t="s">
        <v>1722</v>
      </c>
      <c r="B73" t="s">
        <v>52</v>
      </c>
      <c r="C73">
        <v>2</v>
      </c>
      <c r="E73">
        <v>31028.258999999998</v>
      </c>
      <c r="G73">
        <v>1.4E-3</v>
      </c>
      <c r="I73" t="s">
        <v>1724</v>
      </c>
      <c r="J73" t="s">
        <v>1705</v>
      </c>
    </row>
    <row r="74" spans="1:10">
      <c r="A74" t="s">
        <v>1722</v>
      </c>
      <c r="B74" t="s">
        <v>52</v>
      </c>
      <c r="C74">
        <v>1</v>
      </c>
      <c r="E74">
        <v>31048.748800000001</v>
      </c>
      <c r="G74">
        <v>1.6000000000000001E-3</v>
      </c>
      <c r="I74" t="s">
        <v>1725</v>
      </c>
      <c r="J74" t="s">
        <v>1705</v>
      </c>
    </row>
    <row r="75" spans="1:10">
      <c r="A75" t="s">
        <v>1726</v>
      </c>
      <c r="B75" t="s">
        <v>1727</v>
      </c>
      <c r="C75">
        <v>7</v>
      </c>
      <c r="E75">
        <v>31047.957200000001</v>
      </c>
      <c r="G75">
        <v>1.9E-3</v>
      </c>
      <c r="I75">
        <v>100</v>
      </c>
      <c r="J75" t="s">
        <v>1705</v>
      </c>
    </row>
    <row r="76" spans="1:10">
      <c r="A76" t="s">
        <v>1726</v>
      </c>
      <c r="B76" t="s">
        <v>1727</v>
      </c>
      <c r="C76">
        <v>6</v>
      </c>
      <c r="E76">
        <v>31049.215499999998</v>
      </c>
      <c r="G76">
        <v>2E-3</v>
      </c>
      <c r="I76">
        <v>100</v>
      </c>
      <c r="J76" t="s">
        <v>1705</v>
      </c>
    </row>
    <row r="77" spans="1:10">
      <c r="A77" t="s">
        <v>1726</v>
      </c>
      <c r="B77" t="s">
        <v>1727</v>
      </c>
      <c r="C77">
        <v>5</v>
      </c>
      <c r="E77">
        <v>31055.277699999999</v>
      </c>
      <c r="G77">
        <v>1.8E-3</v>
      </c>
      <c r="I77">
        <v>100</v>
      </c>
      <c r="J77" t="s">
        <v>1705</v>
      </c>
    </row>
    <row r="78" spans="1:10">
      <c r="A78" t="s">
        <v>1728</v>
      </c>
      <c r="B78" t="s">
        <v>11</v>
      </c>
      <c r="C78">
        <v>1</v>
      </c>
      <c r="E78">
        <v>31352.382799999999</v>
      </c>
      <c r="G78">
        <v>2.0999999999999999E-3</v>
      </c>
      <c r="I78" t="s">
        <v>1729</v>
      </c>
      <c r="J78" t="s">
        <v>1705</v>
      </c>
    </row>
    <row r="79" spans="1:10">
      <c r="A79" t="s">
        <v>1728</v>
      </c>
      <c r="B79" t="s">
        <v>11</v>
      </c>
      <c r="C79">
        <v>2</v>
      </c>
      <c r="E79">
        <v>31355.119200000001</v>
      </c>
      <c r="G79">
        <v>1.6999999999999999E-3</v>
      </c>
      <c r="I79" t="s">
        <v>1730</v>
      </c>
      <c r="J79" t="s">
        <v>1705</v>
      </c>
    </row>
    <row r="80" spans="1:10">
      <c r="A80" t="s">
        <v>1728</v>
      </c>
      <c r="B80" t="s">
        <v>11</v>
      </c>
      <c r="C80">
        <v>3</v>
      </c>
      <c r="E80">
        <v>31364.2327</v>
      </c>
      <c r="G80">
        <v>1.5E-3</v>
      </c>
      <c r="I80" t="s">
        <v>1731</v>
      </c>
      <c r="J80" t="s">
        <v>1705</v>
      </c>
    </row>
    <row r="81" spans="1:10">
      <c r="A81" t="s">
        <v>1728</v>
      </c>
      <c r="B81" t="s">
        <v>11</v>
      </c>
      <c r="C81">
        <v>4</v>
      </c>
      <c r="E81">
        <v>31377.862400000002</v>
      </c>
      <c r="G81">
        <v>1.5E-3</v>
      </c>
      <c r="I81">
        <v>100</v>
      </c>
      <c r="J81" t="s">
        <v>1705</v>
      </c>
    </row>
    <row r="82" spans="1:10">
      <c r="A82" t="s">
        <v>1728</v>
      </c>
      <c r="B82" t="s">
        <v>11</v>
      </c>
      <c r="C82">
        <v>5</v>
      </c>
      <c r="E82">
        <v>31393.2968</v>
      </c>
      <c r="G82">
        <v>1.5E-3</v>
      </c>
      <c r="I82">
        <v>100</v>
      </c>
      <c r="J82" t="s">
        <v>1705</v>
      </c>
    </row>
    <row r="83" spans="1:10">
      <c r="A83" t="s">
        <v>1707</v>
      </c>
      <c r="B83" t="s">
        <v>25</v>
      </c>
      <c r="C83">
        <v>4</v>
      </c>
      <c r="E83">
        <v>31986.786</v>
      </c>
      <c r="G83">
        <v>0.03</v>
      </c>
      <c r="I83" t="s">
        <v>1708</v>
      </c>
      <c r="J83" t="s">
        <v>1709</v>
      </c>
    </row>
    <row r="84" spans="1:10">
      <c r="A84" t="s">
        <v>1707</v>
      </c>
      <c r="B84" t="s">
        <v>1732</v>
      </c>
      <c r="C84">
        <v>6</v>
      </c>
      <c r="E84">
        <v>32097.2978</v>
      </c>
      <c r="G84">
        <v>3.0000000000000001E-3</v>
      </c>
      <c r="I84" t="s">
        <v>1708</v>
      </c>
      <c r="J84" t="s">
        <v>1709</v>
      </c>
    </row>
    <row r="85" spans="1:10">
      <c r="A85" t="s">
        <v>1733</v>
      </c>
      <c r="B85" t="s">
        <v>19</v>
      </c>
      <c r="C85">
        <v>2</v>
      </c>
      <c r="E85">
        <v>33039.968999999997</v>
      </c>
      <c r="G85">
        <v>2.2000000000000001E-3</v>
      </c>
      <c r="I85" t="s">
        <v>1734</v>
      </c>
      <c r="J85" t="s">
        <v>1705</v>
      </c>
    </row>
    <row r="86" spans="1:10">
      <c r="A86" t="s">
        <v>1733</v>
      </c>
      <c r="B86" t="s">
        <v>19</v>
      </c>
      <c r="C86">
        <v>3</v>
      </c>
      <c r="E86">
        <v>33060.661</v>
      </c>
      <c r="G86">
        <v>4.0000000000000001E-3</v>
      </c>
      <c r="I86" t="s">
        <v>1735</v>
      </c>
      <c r="J86" t="s">
        <v>1705</v>
      </c>
    </row>
    <row r="87" spans="1:10">
      <c r="A87" t="s">
        <v>1733</v>
      </c>
      <c r="B87" t="s">
        <v>19</v>
      </c>
      <c r="C87">
        <v>4</v>
      </c>
      <c r="E87">
        <v>33113.212</v>
      </c>
      <c r="G87">
        <v>3.0000000000000001E-3</v>
      </c>
      <c r="I87">
        <v>100</v>
      </c>
      <c r="J87" t="s">
        <v>1705</v>
      </c>
    </row>
    <row r="88" spans="1:10">
      <c r="A88" t="s">
        <v>1718</v>
      </c>
      <c r="B88" t="s">
        <v>45</v>
      </c>
      <c r="C88">
        <v>0</v>
      </c>
      <c r="E88">
        <v>33338.256300000001</v>
      </c>
      <c r="G88">
        <v>1.2999999999999999E-3</v>
      </c>
      <c r="I88" t="s">
        <v>1736</v>
      </c>
      <c r="J88" t="s">
        <v>1705</v>
      </c>
    </row>
    <row r="89" spans="1:10">
      <c r="A89" t="s">
        <v>1718</v>
      </c>
      <c r="B89" t="s">
        <v>45</v>
      </c>
      <c r="C89">
        <v>1</v>
      </c>
      <c r="E89">
        <v>33423.784500000002</v>
      </c>
      <c r="G89">
        <v>1.2999999999999999E-3</v>
      </c>
      <c r="H89">
        <v>1.4990000000000001</v>
      </c>
      <c r="I89">
        <v>93</v>
      </c>
      <c r="J89" t="s">
        <v>1705</v>
      </c>
    </row>
    <row r="90" spans="1:10">
      <c r="A90" t="s">
        <v>1718</v>
      </c>
      <c r="B90" t="s">
        <v>45</v>
      </c>
      <c r="C90">
        <v>2</v>
      </c>
      <c r="E90">
        <v>33542.0985</v>
      </c>
      <c r="G90">
        <v>1.1000000000000001E-3</v>
      </c>
      <c r="H90">
        <v>1.4970000000000001</v>
      </c>
      <c r="I90">
        <v>96</v>
      </c>
      <c r="J90" t="s">
        <v>1705</v>
      </c>
    </row>
    <row r="91" spans="1:10">
      <c r="A91" t="s">
        <v>1718</v>
      </c>
      <c r="B91" t="s">
        <v>45</v>
      </c>
      <c r="C91">
        <v>3</v>
      </c>
      <c r="E91">
        <v>33671.527300000002</v>
      </c>
      <c r="G91">
        <v>1.1999999999999999E-3</v>
      </c>
      <c r="H91">
        <v>1.4970000000000001</v>
      </c>
      <c r="I91">
        <v>97</v>
      </c>
      <c r="J91" t="s">
        <v>1705</v>
      </c>
    </row>
    <row r="92" spans="1:10">
      <c r="A92" t="s">
        <v>1718</v>
      </c>
      <c r="B92" t="s">
        <v>45</v>
      </c>
      <c r="C92">
        <v>4</v>
      </c>
      <c r="E92">
        <v>33816.0334</v>
      </c>
      <c r="G92">
        <v>1.2999999999999999E-3</v>
      </c>
      <c r="H92">
        <v>1.4990000000000001</v>
      </c>
      <c r="I92">
        <v>97</v>
      </c>
      <c r="J92" t="s">
        <v>1705</v>
      </c>
    </row>
    <row r="93" spans="1:10">
      <c r="A93" t="s">
        <v>1718</v>
      </c>
      <c r="B93" t="s">
        <v>63</v>
      </c>
      <c r="C93">
        <v>0</v>
      </c>
      <c r="E93">
        <v>33762.532599999999</v>
      </c>
      <c r="G93">
        <v>1.4E-3</v>
      </c>
      <c r="I93" t="s">
        <v>1737</v>
      </c>
      <c r="J93" t="s">
        <v>1705</v>
      </c>
    </row>
    <row r="94" spans="1:10">
      <c r="A94" t="s">
        <v>1718</v>
      </c>
      <c r="B94" t="s">
        <v>63</v>
      </c>
      <c r="C94">
        <v>1</v>
      </c>
      <c r="E94">
        <v>33897.250599999999</v>
      </c>
      <c r="G94">
        <v>1.4E-3</v>
      </c>
      <c r="H94">
        <v>1.49</v>
      </c>
      <c r="I94">
        <v>92</v>
      </c>
      <c r="J94" t="s">
        <v>1705</v>
      </c>
    </row>
    <row r="95" spans="1:10">
      <c r="A95" t="s">
        <v>1718</v>
      </c>
      <c r="B95" t="s">
        <v>63</v>
      </c>
      <c r="C95">
        <v>2</v>
      </c>
      <c r="E95">
        <v>34190.432000000001</v>
      </c>
      <c r="G95">
        <v>1.2999999999999999E-3</v>
      </c>
      <c r="H95">
        <v>1.55</v>
      </c>
      <c r="I95">
        <v>95</v>
      </c>
      <c r="J95" t="s">
        <v>1705</v>
      </c>
    </row>
    <row r="96" spans="1:10">
      <c r="A96" t="s">
        <v>1726</v>
      </c>
      <c r="B96" t="s">
        <v>1738</v>
      </c>
      <c r="C96">
        <v>6</v>
      </c>
      <c r="E96">
        <v>33762.662199999999</v>
      </c>
      <c r="G96">
        <v>3.0000000000000001E-3</v>
      </c>
      <c r="I96">
        <v>100</v>
      </c>
      <c r="J96" t="s">
        <v>1705</v>
      </c>
    </row>
    <row r="97" spans="1:10">
      <c r="A97" t="s">
        <v>1707</v>
      </c>
      <c r="B97" t="s">
        <v>1739</v>
      </c>
      <c r="C97">
        <v>1</v>
      </c>
      <c r="E97">
        <v>33906.538999999997</v>
      </c>
      <c r="G97">
        <v>0.01</v>
      </c>
      <c r="I97" t="s">
        <v>1708</v>
      </c>
      <c r="J97" t="s">
        <v>1709</v>
      </c>
    </row>
    <row r="98" spans="1:10">
      <c r="A98" t="s">
        <v>1707</v>
      </c>
      <c r="B98" t="s">
        <v>1739</v>
      </c>
      <c r="C98">
        <v>3</v>
      </c>
      <c r="E98">
        <v>33934.756999999998</v>
      </c>
      <c r="G98">
        <v>6.0000000000000001E-3</v>
      </c>
      <c r="I98" t="s">
        <v>1708</v>
      </c>
      <c r="J98" t="s">
        <v>1709</v>
      </c>
    </row>
    <row r="99" spans="1:10">
      <c r="A99" t="s">
        <v>1707</v>
      </c>
      <c r="B99" t="s">
        <v>1739</v>
      </c>
      <c r="C99">
        <v>2</v>
      </c>
      <c r="E99">
        <v>33935.612999999998</v>
      </c>
      <c r="G99">
        <v>7.0000000000000001E-3</v>
      </c>
      <c r="I99" t="s">
        <v>1708</v>
      </c>
      <c r="J99" t="s">
        <v>1709</v>
      </c>
    </row>
    <row r="100" spans="1:10">
      <c r="A100" t="s">
        <v>1740</v>
      </c>
      <c r="B100" t="s">
        <v>1741</v>
      </c>
      <c r="C100">
        <v>4</v>
      </c>
      <c r="E100">
        <v>35397.956599999998</v>
      </c>
      <c r="G100">
        <v>1.4E-3</v>
      </c>
      <c r="I100" t="s">
        <v>1708</v>
      </c>
      <c r="J100" t="s">
        <v>1709</v>
      </c>
    </row>
    <row r="101" spans="1:10">
      <c r="A101" t="s">
        <v>1740</v>
      </c>
      <c r="B101" t="s">
        <v>1741</v>
      </c>
      <c r="C101">
        <v>3</v>
      </c>
      <c r="E101">
        <v>35501.1774</v>
      </c>
      <c r="G101">
        <v>1.1000000000000001E-3</v>
      </c>
      <c r="I101" t="s">
        <v>1708</v>
      </c>
      <c r="J101" t="s">
        <v>1709</v>
      </c>
    </row>
    <row r="102" spans="1:10">
      <c r="A102" t="s">
        <v>1740</v>
      </c>
      <c r="B102" t="s">
        <v>1741</v>
      </c>
      <c r="C102">
        <v>2</v>
      </c>
      <c r="E102">
        <v>35572.919399999999</v>
      </c>
      <c r="G102">
        <v>1.1000000000000001E-3</v>
      </c>
      <c r="I102" t="s">
        <v>1708</v>
      </c>
      <c r="J102" t="s">
        <v>1709</v>
      </c>
    </row>
    <row r="103" spans="1:10">
      <c r="A103" t="s">
        <v>1740</v>
      </c>
      <c r="B103" t="s">
        <v>1741</v>
      </c>
      <c r="C103">
        <v>1</v>
      </c>
      <c r="E103">
        <v>35618.480600000003</v>
      </c>
      <c r="G103">
        <v>1.1999999999999999E-3</v>
      </c>
      <c r="I103" t="s">
        <v>1708</v>
      </c>
      <c r="J103" t="s">
        <v>1709</v>
      </c>
    </row>
    <row r="104" spans="1:10">
      <c r="A104" t="s">
        <v>1740</v>
      </c>
      <c r="B104" t="s">
        <v>1741</v>
      </c>
      <c r="C104">
        <v>0</v>
      </c>
      <c r="E104">
        <v>35640.643400000001</v>
      </c>
      <c r="G104">
        <v>1.4E-3</v>
      </c>
      <c r="I104" t="s">
        <v>1708</v>
      </c>
      <c r="J104" t="s">
        <v>1709</v>
      </c>
    </row>
    <row r="105" spans="1:10">
      <c r="A105" t="s">
        <v>1728</v>
      </c>
      <c r="B105" t="s">
        <v>35</v>
      </c>
      <c r="C105">
        <v>2</v>
      </c>
      <c r="E105">
        <v>35807.707000000002</v>
      </c>
      <c r="G105">
        <v>2.3E-2</v>
      </c>
      <c r="I105">
        <v>100</v>
      </c>
      <c r="J105" t="s">
        <v>1705</v>
      </c>
    </row>
    <row r="106" spans="1:10">
      <c r="A106" t="s">
        <v>1728</v>
      </c>
      <c r="B106" t="s">
        <v>35</v>
      </c>
      <c r="C106">
        <v>3</v>
      </c>
      <c r="E106">
        <v>35813.684999999998</v>
      </c>
      <c r="G106">
        <v>0.01</v>
      </c>
      <c r="I106">
        <v>100</v>
      </c>
      <c r="J106" t="s">
        <v>1705</v>
      </c>
    </row>
    <row r="107" spans="1:10">
      <c r="A107" t="s">
        <v>1728</v>
      </c>
      <c r="B107" t="s">
        <v>35</v>
      </c>
      <c r="C107">
        <v>4</v>
      </c>
      <c r="E107">
        <v>35862.764000000003</v>
      </c>
      <c r="G107">
        <v>2E-3</v>
      </c>
      <c r="I107">
        <v>98</v>
      </c>
      <c r="J107" t="s">
        <v>1705</v>
      </c>
    </row>
    <row r="108" spans="1:10">
      <c r="A108" t="s">
        <v>1742</v>
      </c>
      <c r="B108" t="s">
        <v>36</v>
      </c>
      <c r="C108">
        <v>4</v>
      </c>
      <c r="E108">
        <v>35870.457999999999</v>
      </c>
      <c r="G108">
        <v>4.0000000000000001E-3</v>
      </c>
      <c r="I108">
        <v>98</v>
      </c>
      <c r="J108" t="s">
        <v>1705</v>
      </c>
    </row>
    <row r="109" spans="1:10">
      <c r="A109" t="s">
        <v>1742</v>
      </c>
      <c r="B109" t="s">
        <v>36</v>
      </c>
      <c r="C109">
        <v>5</v>
      </c>
      <c r="E109">
        <v>35884.254999999997</v>
      </c>
      <c r="G109">
        <v>3.0000000000000001E-3</v>
      </c>
      <c r="I109">
        <v>98</v>
      </c>
      <c r="J109" t="s">
        <v>1705</v>
      </c>
    </row>
    <row r="110" spans="1:10">
      <c r="A110" t="s">
        <v>1742</v>
      </c>
      <c r="B110" t="s">
        <v>36</v>
      </c>
      <c r="C110">
        <v>6</v>
      </c>
      <c r="E110">
        <v>35933.906000000003</v>
      </c>
      <c r="G110">
        <v>3.0000000000000001E-3</v>
      </c>
      <c r="I110">
        <v>100</v>
      </c>
      <c r="J110" t="s">
        <v>1705</v>
      </c>
    </row>
    <row r="111" spans="1:10">
      <c r="A111" t="s">
        <v>1718</v>
      </c>
      <c r="B111" t="s">
        <v>54</v>
      </c>
      <c r="C111">
        <v>2</v>
      </c>
      <c r="E111">
        <v>35897.783300000003</v>
      </c>
      <c r="G111">
        <v>1.4E-3</v>
      </c>
      <c r="I111">
        <v>95</v>
      </c>
      <c r="J111" t="s">
        <v>1705</v>
      </c>
    </row>
    <row r="112" spans="1:10">
      <c r="A112" t="s">
        <v>1718</v>
      </c>
      <c r="B112" t="s">
        <v>54</v>
      </c>
      <c r="C112">
        <v>3</v>
      </c>
      <c r="E112">
        <v>36034.152399999999</v>
      </c>
      <c r="G112">
        <v>1.2999999999999999E-3</v>
      </c>
      <c r="I112">
        <v>95</v>
      </c>
      <c r="J112" t="s">
        <v>1705</v>
      </c>
    </row>
    <row r="113" spans="1:10">
      <c r="A113" t="s">
        <v>1718</v>
      </c>
      <c r="B113" t="s">
        <v>54</v>
      </c>
      <c r="C113">
        <v>4</v>
      </c>
      <c r="E113">
        <v>36212.133900000001</v>
      </c>
      <c r="G113">
        <v>1.2999999999999999E-3</v>
      </c>
      <c r="I113">
        <v>95</v>
      </c>
      <c r="J113" t="s">
        <v>1705</v>
      </c>
    </row>
    <row r="114" spans="1:10">
      <c r="A114" t="s">
        <v>1743</v>
      </c>
      <c r="B114" t="s">
        <v>48</v>
      </c>
      <c r="C114">
        <v>3</v>
      </c>
      <c r="E114">
        <v>36552.1351</v>
      </c>
      <c r="G114">
        <v>2.0999999999999999E-3</v>
      </c>
      <c r="I114">
        <v>100</v>
      </c>
      <c r="J114" t="s">
        <v>1705</v>
      </c>
    </row>
    <row r="115" spans="1:10">
      <c r="A115" t="s">
        <v>1743</v>
      </c>
      <c r="B115" t="s">
        <v>48</v>
      </c>
      <c r="C115">
        <v>2</v>
      </c>
      <c r="E115">
        <v>36558.446000000004</v>
      </c>
      <c r="G115">
        <v>3.0000000000000001E-3</v>
      </c>
      <c r="I115">
        <v>100</v>
      </c>
      <c r="J115" t="s">
        <v>1705</v>
      </c>
    </row>
    <row r="116" spans="1:10">
      <c r="A116" t="s">
        <v>1743</v>
      </c>
      <c r="B116" t="s">
        <v>48</v>
      </c>
      <c r="C116">
        <v>4</v>
      </c>
      <c r="E116">
        <v>36577.654499999997</v>
      </c>
      <c r="G116">
        <v>2.2000000000000001E-3</v>
      </c>
      <c r="I116">
        <v>100</v>
      </c>
      <c r="J116" t="s">
        <v>1705</v>
      </c>
    </row>
    <row r="117" spans="1:10">
      <c r="A117" t="s">
        <v>1744</v>
      </c>
      <c r="B117" t="s">
        <v>1745</v>
      </c>
      <c r="C117">
        <v>3</v>
      </c>
      <c r="E117">
        <v>36895.805999999997</v>
      </c>
      <c r="G117">
        <v>1.6000000000000001E-3</v>
      </c>
      <c r="I117" t="s">
        <v>1708</v>
      </c>
      <c r="J117" t="s">
        <v>1709</v>
      </c>
    </row>
    <row r="118" spans="1:10">
      <c r="A118" t="s">
        <v>1746</v>
      </c>
      <c r="B118" t="s">
        <v>1747</v>
      </c>
      <c r="C118">
        <v>3</v>
      </c>
      <c r="E118">
        <v>37205.851000000002</v>
      </c>
      <c r="G118">
        <v>0.01</v>
      </c>
      <c r="I118">
        <v>98</v>
      </c>
      <c r="J118" t="s">
        <v>1705</v>
      </c>
    </row>
    <row r="119" spans="1:10">
      <c r="A119" t="s">
        <v>1746</v>
      </c>
      <c r="B119" t="s">
        <v>1747</v>
      </c>
      <c r="C119">
        <v>5</v>
      </c>
      <c r="E119">
        <v>37233.423000000003</v>
      </c>
      <c r="G119">
        <v>5.0000000000000001E-3</v>
      </c>
      <c r="I119">
        <v>96</v>
      </c>
      <c r="J119" t="s">
        <v>1705</v>
      </c>
    </row>
    <row r="120" spans="1:10">
      <c r="A120" t="s">
        <v>1746</v>
      </c>
      <c r="B120" t="s">
        <v>1747</v>
      </c>
      <c r="C120">
        <v>4</v>
      </c>
      <c r="E120">
        <v>37244.010999999999</v>
      </c>
      <c r="G120">
        <v>6.0000000000000001E-3</v>
      </c>
      <c r="I120">
        <v>98</v>
      </c>
      <c r="J120" t="s">
        <v>1705</v>
      </c>
    </row>
    <row r="121" spans="1:10">
      <c r="A121" t="s">
        <v>1744</v>
      </c>
      <c r="B121" t="s">
        <v>182</v>
      </c>
      <c r="C121">
        <v>2</v>
      </c>
      <c r="E121">
        <v>37883.400999999998</v>
      </c>
      <c r="G121">
        <v>1.1000000000000001E-3</v>
      </c>
      <c r="I121" t="s">
        <v>1708</v>
      </c>
      <c r="J121" t="s">
        <v>1709</v>
      </c>
    </row>
    <row r="122" spans="1:10">
      <c r="A122" t="s">
        <v>1742</v>
      </c>
      <c r="B122" t="s">
        <v>31</v>
      </c>
      <c r="C122">
        <v>5</v>
      </c>
      <c r="E122">
        <v>38537.591</v>
      </c>
      <c r="G122">
        <v>3.0000000000000001E-3</v>
      </c>
      <c r="I122">
        <v>98</v>
      </c>
      <c r="J122" t="s">
        <v>1705</v>
      </c>
    </row>
    <row r="123" spans="1:10">
      <c r="A123" t="s">
        <v>1718</v>
      </c>
      <c r="B123" t="s">
        <v>55</v>
      </c>
      <c r="C123">
        <v>1</v>
      </c>
      <c r="E123">
        <v>38596.991699999999</v>
      </c>
      <c r="G123">
        <v>1.4E-3</v>
      </c>
      <c r="I123">
        <v>96</v>
      </c>
      <c r="J123" t="s">
        <v>1705</v>
      </c>
    </row>
    <row r="124" spans="1:10">
      <c r="A124" t="s">
        <v>1718</v>
      </c>
      <c r="B124" t="s">
        <v>55</v>
      </c>
      <c r="C124">
        <v>2</v>
      </c>
      <c r="E124">
        <v>38730.637900000002</v>
      </c>
      <c r="G124">
        <v>1.2999999999999999E-3</v>
      </c>
      <c r="I124">
        <v>96</v>
      </c>
      <c r="J124" t="s">
        <v>1705</v>
      </c>
    </row>
    <row r="125" spans="1:10">
      <c r="A125" t="s">
        <v>1718</v>
      </c>
      <c r="B125" t="s">
        <v>55</v>
      </c>
      <c r="C125">
        <v>3</v>
      </c>
      <c r="E125">
        <v>38911.304600000003</v>
      </c>
      <c r="G125">
        <v>1.4E-3</v>
      </c>
      <c r="I125">
        <v>96</v>
      </c>
      <c r="J125" t="s">
        <v>1705</v>
      </c>
    </row>
    <row r="126" spans="1:10">
      <c r="A126" t="s">
        <v>1746</v>
      </c>
      <c r="B126" t="s">
        <v>38</v>
      </c>
      <c r="C126">
        <v>4</v>
      </c>
      <c r="E126">
        <v>39158.639999999999</v>
      </c>
      <c r="G126">
        <v>0.05</v>
      </c>
      <c r="I126">
        <v>98</v>
      </c>
      <c r="J126" t="s">
        <v>1705</v>
      </c>
    </row>
    <row r="127" spans="1:10">
      <c r="A127" t="s">
        <v>1748</v>
      </c>
      <c r="B127" t="s">
        <v>60</v>
      </c>
      <c r="C127">
        <v>1</v>
      </c>
      <c r="E127">
        <v>40906.417999999998</v>
      </c>
      <c r="G127">
        <v>1.0999999999999999E-2</v>
      </c>
      <c r="H127">
        <v>4.0000000000000001E-3</v>
      </c>
      <c r="I127" t="s">
        <v>1749</v>
      </c>
      <c r="J127" t="s">
        <v>1705</v>
      </c>
    </row>
    <row r="128" spans="1:10">
      <c r="A128" t="s">
        <v>1748</v>
      </c>
      <c r="B128" t="s">
        <v>60</v>
      </c>
      <c r="C128">
        <v>2</v>
      </c>
      <c r="E128">
        <v>40971.259899999997</v>
      </c>
      <c r="G128">
        <v>2E-3</v>
      </c>
      <c r="H128">
        <v>1.28</v>
      </c>
      <c r="I128" t="s">
        <v>1750</v>
      </c>
      <c r="J128" t="s">
        <v>1705</v>
      </c>
    </row>
    <row r="129" spans="1:10">
      <c r="A129" t="s">
        <v>1748</v>
      </c>
      <c r="B129" t="s">
        <v>60</v>
      </c>
      <c r="C129">
        <v>3</v>
      </c>
      <c r="E129">
        <v>41086.218000000001</v>
      </c>
      <c r="G129">
        <v>7.0000000000000001E-3</v>
      </c>
      <c r="H129">
        <v>1.246</v>
      </c>
      <c r="I129" t="s">
        <v>1750</v>
      </c>
      <c r="J129" t="s">
        <v>1705</v>
      </c>
    </row>
    <row r="130" spans="1:10">
      <c r="A130" t="s">
        <v>1748</v>
      </c>
      <c r="B130" t="s">
        <v>60</v>
      </c>
      <c r="C130">
        <v>4</v>
      </c>
      <c r="E130">
        <v>41224.742899999997</v>
      </c>
      <c r="G130">
        <v>1.6999999999999999E-3</v>
      </c>
      <c r="H130">
        <v>1.36</v>
      </c>
      <c r="I130" t="s">
        <v>1751</v>
      </c>
      <c r="J130" t="s">
        <v>1705</v>
      </c>
    </row>
    <row r="131" spans="1:10">
      <c r="A131" t="s">
        <v>1748</v>
      </c>
      <c r="B131" t="s">
        <v>60</v>
      </c>
      <c r="C131">
        <v>5</v>
      </c>
      <c r="E131">
        <v>41393.446000000004</v>
      </c>
      <c r="G131">
        <v>8.0000000000000002E-3</v>
      </c>
      <c r="I131" t="s">
        <v>1752</v>
      </c>
      <c r="J131" t="s">
        <v>1705</v>
      </c>
    </row>
    <row r="132" spans="1:10">
      <c r="A132" t="s">
        <v>1748</v>
      </c>
      <c r="B132" t="s">
        <v>129</v>
      </c>
      <c r="C132">
        <v>1</v>
      </c>
      <c r="E132">
        <v>40930.274400000002</v>
      </c>
      <c r="G132">
        <v>1.1999999999999999E-3</v>
      </c>
      <c r="H132">
        <v>2.4550000000000001</v>
      </c>
      <c r="I132" t="s">
        <v>1753</v>
      </c>
      <c r="J132" t="s">
        <v>1705</v>
      </c>
    </row>
    <row r="133" spans="1:10">
      <c r="A133" t="s">
        <v>1748</v>
      </c>
      <c r="B133" t="s">
        <v>129</v>
      </c>
      <c r="C133">
        <v>2</v>
      </c>
      <c r="E133">
        <v>40982.789799999999</v>
      </c>
      <c r="G133">
        <v>1.2999999999999999E-3</v>
      </c>
      <c r="H133">
        <v>1.76</v>
      </c>
      <c r="I133" t="s">
        <v>1754</v>
      </c>
      <c r="J133" t="s">
        <v>1705</v>
      </c>
    </row>
    <row r="134" spans="1:10">
      <c r="A134" t="s">
        <v>1748</v>
      </c>
      <c r="B134" t="s">
        <v>129</v>
      </c>
      <c r="C134">
        <v>3</v>
      </c>
      <c r="E134">
        <v>41043.346400000002</v>
      </c>
      <c r="G134">
        <v>1.1000000000000001E-3</v>
      </c>
      <c r="H134">
        <v>1.64</v>
      </c>
      <c r="I134" t="s">
        <v>1755</v>
      </c>
      <c r="J134" t="s">
        <v>1705</v>
      </c>
    </row>
    <row r="135" spans="1:10">
      <c r="A135" t="s">
        <v>1748</v>
      </c>
      <c r="B135" t="s">
        <v>58</v>
      </c>
      <c r="C135">
        <v>0</v>
      </c>
      <c r="E135">
        <v>41224.750999999997</v>
      </c>
      <c r="G135">
        <v>2E-3</v>
      </c>
      <c r="I135" t="s">
        <v>1756</v>
      </c>
      <c r="J135" t="s">
        <v>1705</v>
      </c>
    </row>
    <row r="136" spans="1:10">
      <c r="A136" t="s">
        <v>1748</v>
      </c>
      <c r="B136" t="s">
        <v>58</v>
      </c>
      <c r="C136">
        <v>1</v>
      </c>
      <c r="E136">
        <v>41289.113299999997</v>
      </c>
      <c r="G136">
        <v>1.8E-3</v>
      </c>
      <c r="H136">
        <v>1.5029999999999999</v>
      </c>
      <c r="I136" t="s">
        <v>1757</v>
      </c>
      <c r="J136" t="s">
        <v>1705</v>
      </c>
    </row>
    <row r="137" spans="1:10">
      <c r="A137" t="s">
        <v>1748</v>
      </c>
      <c r="B137" t="s">
        <v>58</v>
      </c>
      <c r="C137">
        <v>2</v>
      </c>
      <c r="E137">
        <v>41408.983999999997</v>
      </c>
      <c r="G137">
        <v>1.8E-3</v>
      </c>
      <c r="H137">
        <v>1.504</v>
      </c>
      <c r="I137" t="s">
        <v>1758</v>
      </c>
      <c r="J137" t="s">
        <v>1705</v>
      </c>
    </row>
    <row r="138" spans="1:10">
      <c r="A138" t="s">
        <v>1748</v>
      </c>
      <c r="B138" t="s">
        <v>58</v>
      </c>
      <c r="C138">
        <v>3</v>
      </c>
      <c r="E138">
        <v>41575.099000000002</v>
      </c>
      <c r="G138">
        <v>2E-3</v>
      </c>
      <c r="H138">
        <v>1.5029999999999999</v>
      </c>
      <c r="I138" t="s">
        <v>1759</v>
      </c>
      <c r="J138" t="s">
        <v>1705</v>
      </c>
    </row>
    <row r="139" spans="1:10">
      <c r="A139" t="s">
        <v>1748</v>
      </c>
      <c r="B139" t="s">
        <v>58</v>
      </c>
      <c r="C139">
        <v>4</v>
      </c>
      <c r="E139">
        <v>41782.131300000001</v>
      </c>
      <c r="G139">
        <v>1.9E-3</v>
      </c>
      <c r="H139">
        <v>1.5</v>
      </c>
      <c r="I139" t="s">
        <v>1760</v>
      </c>
      <c r="J139" t="s">
        <v>1705</v>
      </c>
    </row>
    <row r="140" spans="1:10">
      <c r="A140" t="s">
        <v>1761</v>
      </c>
      <c r="B140" t="s">
        <v>1762</v>
      </c>
      <c r="C140">
        <v>3</v>
      </c>
      <c r="E140">
        <v>42025.495600000002</v>
      </c>
      <c r="G140">
        <v>2E-3</v>
      </c>
      <c r="I140" t="s">
        <v>1763</v>
      </c>
      <c r="J140" t="s">
        <v>1705</v>
      </c>
    </row>
    <row r="141" spans="1:10">
      <c r="A141" t="s">
        <v>1761</v>
      </c>
      <c r="B141" t="s">
        <v>1762</v>
      </c>
      <c r="C141">
        <v>4</v>
      </c>
      <c r="E141">
        <v>42079.726300000002</v>
      </c>
      <c r="G141">
        <v>1.9E-3</v>
      </c>
      <c r="I141" t="s">
        <v>1764</v>
      </c>
      <c r="J141" t="s">
        <v>1705</v>
      </c>
    </row>
    <row r="142" spans="1:10">
      <c r="A142" t="s">
        <v>1761</v>
      </c>
      <c r="B142" t="s">
        <v>1762</v>
      </c>
      <c r="C142">
        <v>5</v>
      </c>
      <c r="E142">
        <v>42153.499000000003</v>
      </c>
      <c r="G142">
        <v>3.0000000000000001E-3</v>
      </c>
      <c r="I142" t="s">
        <v>1765</v>
      </c>
      <c r="J142" t="s">
        <v>1705</v>
      </c>
    </row>
    <row r="143" spans="1:10">
      <c r="A143" t="s">
        <v>1761</v>
      </c>
      <c r="B143" t="s">
        <v>1762</v>
      </c>
      <c r="C143">
        <v>6</v>
      </c>
      <c r="E143">
        <v>42252.141000000003</v>
      </c>
      <c r="G143">
        <v>3.0000000000000001E-3</v>
      </c>
      <c r="I143" t="s">
        <v>1766</v>
      </c>
      <c r="J143" t="s">
        <v>1705</v>
      </c>
    </row>
    <row r="144" spans="1:10">
      <c r="A144" t="s">
        <v>1761</v>
      </c>
      <c r="B144" t="s">
        <v>1762</v>
      </c>
      <c r="C144">
        <v>7</v>
      </c>
      <c r="E144">
        <v>42387.26</v>
      </c>
      <c r="G144">
        <v>3.0000000000000001E-3</v>
      </c>
      <c r="I144" t="s">
        <v>1767</v>
      </c>
      <c r="J144" t="s">
        <v>1705</v>
      </c>
    </row>
    <row r="145" spans="1:10">
      <c r="A145" t="s">
        <v>1768</v>
      </c>
      <c r="B145" t="s">
        <v>61</v>
      </c>
      <c r="C145">
        <v>0</v>
      </c>
      <c r="E145">
        <v>42218.321000000004</v>
      </c>
      <c r="G145">
        <v>3.0000000000000001E-3</v>
      </c>
      <c r="I145" t="s">
        <v>1769</v>
      </c>
      <c r="J145" t="s">
        <v>1705</v>
      </c>
    </row>
    <row r="146" spans="1:10">
      <c r="A146" t="s">
        <v>1768</v>
      </c>
      <c r="B146" t="s">
        <v>61</v>
      </c>
      <c r="C146">
        <v>1</v>
      </c>
      <c r="E146">
        <v>42292.841699999997</v>
      </c>
      <c r="G146">
        <v>1.9E-3</v>
      </c>
      <c r="H146">
        <v>1.5009999999999999</v>
      </c>
      <c r="I146" t="s">
        <v>1770</v>
      </c>
      <c r="J146" t="s">
        <v>1705</v>
      </c>
    </row>
    <row r="147" spans="1:10">
      <c r="A147" t="s">
        <v>1768</v>
      </c>
      <c r="B147" t="s">
        <v>61</v>
      </c>
      <c r="C147">
        <v>2</v>
      </c>
      <c r="E147">
        <v>42438.750999999997</v>
      </c>
      <c r="G147">
        <v>5.0000000000000001E-3</v>
      </c>
      <c r="H147">
        <v>1.494</v>
      </c>
      <c r="I147" t="s">
        <v>1771</v>
      </c>
      <c r="J147" t="s">
        <v>1705</v>
      </c>
    </row>
    <row r="148" spans="1:10">
      <c r="A148" t="s">
        <v>1768</v>
      </c>
      <c r="B148" t="s">
        <v>61</v>
      </c>
      <c r="C148">
        <v>3</v>
      </c>
      <c r="E148">
        <v>42648.257700000002</v>
      </c>
      <c r="G148">
        <v>1.6999999999999999E-3</v>
      </c>
      <c r="H148">
        <v>1.498</v>
      </c>
      <c r="I148" t="s">
        <v>1772</v>
      </c>
      <c r="J148" t="s">
        <v>1705</v>
      </c>
    </row>
    <row r="149" spans="1:10">
      <c r="A149" t="s">
        <v>1768</v>
      </c>
      <c r="B149" t="s">
        <v>61</v>
      </c>
      <c r="C149">
        <v>4</v>
      </c>
      <c r="E149">
        <v>42908.3681</v>
      </c>
      <c r="G149">
        <v>2E-3</v>
      </c>
      <c r="H149">
        <v>1.4970000000000001</v>
      </c>
      <c r="I149" t="s">
        <v>1773</v>
      </c>
      <c r="J149" t="s">
        <v>1705</v>
      </c>
    </row>
    <row r="150" spans="1:10">
      <c r="A150" t="s">
        <v>1774</v>
      </c>
      <c r="B150" t="s">
        <v>1775</v>
      </c>
      <c r="C150">
        <v>2</v>
      </c>
      <c r="E150">
        <v>42237.957000000002</v>
      </c>
      <c r="G150">
        <v>7.0000000000000001E-3</v>
      </c>
      <c r="I150" t="s">
        <v>1708</v>
      </c>
      <c r="J150" t="s">
        <v>1709</v>
      </c>
    </row>
    <row r="151" spans="1:10">
      <c r="A151" t="s">
        <v>1774</v>
      </c>
      <c r="B151" t="s">
        <v>1775</v>
      </c>
      <c r="C151">
        <v>3</v>
      </c>
      <c r="E151">
        <v>42253.966</v>
      </c>
      <c r="G151">
        <v>7.0000000000000001E-3</v>
      </c>
      <c r="I151" t="s">
        <v>1708</v>
      </c>
      <c r="J151" t="s">
        <v>1709</v>
      </c>
    </row>
    <row r="152" spans="1:10">
      <c r="A152" t="s">
        <v>1774</v>
      </c>
      <c r="B152" t="s">
        <v>1775</v>
      </c>
      <c r="C152">
        <v>4</v>
      </c>
      <c r="E152">
        <v>42275.19</v>
      </c>
      <c r="G152">
        <v>0.2</v>
      </c>
      <c r="I152" t="s">
        <v>1708</v>
      </c>
      <c r="J152" t="s">
        <v>1709</v>
      </c>
    </row>
    <row r="153" spans="1:10">
      <c r="A153" t="s">
        <v>1776</v>
      </c>
      <c r="B153" t="s">
        <v>157</v>
      </c>
      <c r="C153">
        <v>1</v>
      </c>
      <c r="E153">
        <v>42253.241600000001</v>
      </c>
      <c r="G153">
        <v>1.8E-3</v>
      </c>
      <c r="I153" t="s">
        <v>1708</v>
      </c>
      <c r="J153" t="s">
        <v>1709</v>
      </c>
    </row>
    <row r="154" spans="1:10">
      <c r="A154" t="s">
        <v>1776</v>
      </c>
      <c r="B154" t="s">
        <v>157</v>
      </c>
      <c r="C154">
        <v>2</v>
      </c>
      <c r="E154">
        <v>42254.392899999999</v>
      </c>
      <c r="G154">
        <v>1.6000000000000001E-3</v>
      </c>
      <c r="I154" t="s">
        <v>1708</v>
      </c>
      <c r="J154" t="s">
        <v>1709</v>
      </c>
    </row>
    <row r="155" spans="1:10">
      <c r="A155" t="s">
        <v>1776</v>
      </c>
      <c r="B155" t="s">
        <v>157</v>
      </c>
      <c r="C155">
        <v>3</v>
      </c>
      <c r="E155">
        <v>42256.086799999997</v>
      </c>
      <c r="G155">
        <v>1.5E-3</v>
      </c>
      <c r="I155" t="s">
        <v>1708</v>
      </c>
      <c r="J155" t="s">
        <v>1709</v>
      </c>
    </row>
    <row r="156" spans="1:10">
      <c r="A156" t="s">
        <v>1776</v>
      </c>
      <c r="B156" t="s">
        <v>157</v>
      </c>
      <c r="C156">
        <v>4</v>
      </c>
      <c r="E156">
        <v>42258.360699999997</v>
      </c>
      <c r="G156">
        <v>1.4E-3</v>
      </c>
      <c r="I156" t="s">
        <v>1708</v>
      </c>
      <c r="J156" t="s">
        <v>1709</v>
      </c>
    </row>
    <row r="157" spans="1:10">
      <c r="A157" t="s">
        <v>1776</v>
      </c>
      <c r="B157" t="s">
        <v>157</v>
      </c>
      <c r="C157">
        <v>5</v>
      </c>
      <c r="E157">
        <v>42261.2258</v>
      </c>
      <c r="G157">
        <v>1.6000000000000001E-3</v>
      </c>
      <c r="H157">
        <v>1.55</v>
      </c>
      <c r="I157" t="s">
        <v>1708</v>
      </c>
      <c r="J157" t="s">
        <v>1705</v>
      </c>
    </row>
    <row r="158" spans="1:10">
      <c r="A158" t="s">
        <v>1777</v>
      </c>
      <c r="B158" t="s">
        <v>50</v>
      </c>
      <c r="C158">
        <v>2</v>
      </c>
      <c r="E158">
        <v>42515.334199999998</v>
      </c>
      <c r="G158">
        <v>1.8E-3</v>
      </c>
      <c r="H158">
        <v>0.35</v>
      </c>
      <c r="I158" t="s">
        <v>1778</v>
      </c>
      <c r="J158" t="s">
        <v>1705</v>
      </c>
    </row>
    <row r="159" spans="1:10">
      <c r="A159" t="s">
        <v>1777</v>
      </c>
      <c r="B159" t="s">
        <v>50</v>
      </c>
      <c r="C159">
        <v>3</v>
      </c>
      <c r="E159">
        <v>42538.742400000003</v>
      </c>
      <c r="G159">
        <v>1.6999999999999999E-3</v>
      </c>
      <c r="I159" t="s">
        <v>1779</v>
      </c>
      <c r="J159" t="s">
        <v>1705</v>
      </c>
    </row>
    <row r="160" spans="1:10">
      <c r="A160" t="s">
        <v>1777</v>
      </c>
      <c r="B160" t="s">
        <v>50</v>
      </c>
      <c r="C160">
        <v>4</v>
      </c>
      <c r="E160">
        <v>42564.778299999998</v>
      </c>
      <c r="G160">
        <v>1.6000000000000001E-3</v>
      </c>
      <c r="I160" t="s">
        <v>1780</v>
      </c>
      <c r="J160" t="s">
        <v>1705</v>
      </c>
    </row>
    <row r="161" spans="1:10">
      <c r="A161" t="s">
        <v>1777</v>
      </c>
      <c r="B161" t="s">
        <v>50</v>
      </c>
      <c r="C161">
        <v>5</v>
      </c>
      <c r="E161">
        <v>42589.172100000003</v>
      </c>
      <c r="G161">
        <v>1.6000000000000001E-3</v>
      </c>
      <c r="H161">
        <v>1.23</v>
      </c>
      <c r="I161" t="s">
        <v>1781</v>
      </c>
      <c r="J161" t="s">
        <v>1705</v>
      </c>
    </row>
    <row r="162" spans="1:10">
      <c r="A162" t="s">
        <v>1777</v>
      </c>
      <c r="B162" t="s">
        <v>50</v>
      </c>
      <c r="C162">
        <v>6</v>
      </c>
      <c r="E162">
        <v>42605.707999999999</v>
      </c>
      <c r="G162">
        <v>2E-3</v>
      </c>
      <c r="H162">
        <v>1.32</v>
      </c>
      <c r="I162" t="s">
        <v>1782</v>
      </c>
      <c r="J162" t="s">
        <v>1705</v>
      </c>
    </row>
    <row r="163" spans="1:10">
      <c r="A163" t="s">
        <v>1783</v>
      </c>
      <c r="B163" t="s">
        <v>57</v>
      </c>
      <c r="C163">
        <v>2</v>
      </c>
      <c r="E163">
        <v>43124.805999999997</v>
      </c>
      <c r="G163">
        <v>7.0000000000000001E-3</v>
      </c>
      <c r="H163">
        <v>1.93</v>
      </c>
      <c r="I163" t="s">
        <v>1784</v>
      </c>
      <c r="J163" t="s">
        <v>1705</v>
      </c>
    </row>
    <row r="164" spans="1:10">
      <c r="A164" t="s">
        <v>1776</v>
      </c>
      <c r="B164" t="s">
        <v>133</v>
      </c>
      <c r="C164">
        <v>4</v>
      </c>
      <c r="E164">
        <v>44050.978600000002</v>
      </c>
      <c r="G164">
        <v>1.1999999999999999E-3</v>
      </c>
      <c r="I164" t="s">
        <v>1708</v>
      </c>
      <c r="J164" t="s">
        <v>1709</v>
      </c>
    </row>
    <row r="165" spans="1:10">
      <c r="A165" t="s">
        <v>1776</v>
      </c>
      <c r="B165" t="s">
        <v>133</v>
      </c>
      <c r="C165">
        <v>3</v>
      </c>
      <c r="E165">
        <v>44068.847000000002</v>
      </c>
      <c r="G165">
        <v>1.1999999999999999E-3</v>
      </c>
      <c r="I165" t="s">
        <v>1708</v>
      </c>
      <c r="J165" t="s">
        <v>1709</v>
      </c>
    </row>
    <row r="166" spans="1:10">
      <c r="A166" t="s">
        <v>1776</v>
      </c>
      <c r="B166" t="s">
        <v>133</v>
      </c>
      <c r="C166">
        <v>2</v>
      </c>
      <c r="E166">
        <v>44080.997300000003</v>
      </c>
      <c r="G166">
        <v>1.2999999999999999E-3</v>
      </c>
      <c r="I166" t="s">
        <v>1708</v>
      </c>
      <c r="J166" t="s">
        <v>1709</v>
      </c>
    </row>
    <row r="167" spans="1:10">
      <c r="A167" t="s">
        <v>1776</v>
      </c>
      <c r="B167" t="s">
        <v>133</v>
      </c>
      <c r="C167">
        <v>1</v>
      </c>
      <c r="E167">
        <v>44088.977599999998</v>
      </c>
      <c r="G167">
        <v>1.9E-3</v>
      </c>
      <c r="I167" t="s">
        <v>1708</v>
      </c>
      <c r="J167" t="s">
        <v>1709</v>
      </c>
    </row>
    <row r="168" spans="1:10">
      <c r="A168" t="s">
        <v>1776</v>
      </c>
      <c r="B168" t="s">
        <v>133</v>
      </c>
      <c r="C168">
        <v>0</v>
      </c>
      <c r="E168">
        <v>44092.903400000003</v>
      </c>
      <c r="G168">
        <v>2E-3</v>
      </c>
      <c r="I168" t="s">
        <v>1708</v>
      </c>
      <c r="J168" t="s">
        <v>1709</v>
      </c>
    </row>
    <row r="169" spans="1:10">
      <c r="A169" t="s">
        <v>1774</v>
      </c>
      <c r="B169" t="s">
        <v>1785</v>
      </c>
      <c r="C169">
        <v>1</v>
      </c>
      <c r="E169">
        <v>44125.714399999997</v>
      </c>
      <c r="G169">
        <v>1.4E-3</v>
      </c>
      <c r="H169">
        <v>2.74</v>
      </c>
      <c r="I169" t="s">
        <v>1708</v>
      </c>
      <c r="J169" t="s">
        <v>1705</v>
      </c>
    </row>
    <row r="170" spans="1:10">
      <c r="A170" t="s">
        <v>1774</v>
      </c>
      <c r="B170" t="s">
        <v>1785</v>
      </c>
      <c r="C170">
        <v>2</v>
      </c>
      <c r="E170">
        <v>44186.7624</v>
      </c>
      <c r="G170">
        <v>1.4E-3</v>
      </c>
      <c r="H170">
        <v>1.79</v>
      </c>
      <c r="I170" t="s">
        <v>1708</v>
      </c>
      <c r="J170" t="s">
        <v>1705</v>
      </c>
    </row>
    <row r="171" spans="1:10">
      <c r="A171" t="s">
        <v>1774</v>
      </c>
      <c r="B171" t="s">
        <v>1785</v>
      </c>
      <c r="C171">
        <v>3</v>
      </c>
      <c r="E171">
        <v>44259.182000000001</v>
      </c>
      <c r="G171">
        <v>2.3999999999999998E-3</v>
      </c>
      <c r="H171">
        <v>1.68</v>
      </c>
      <c r="I171" t="s">
        <v>1708</v>
      </c>
      <c r="J171" t="s">
        <v>1705</v>
      </c>
    </row>
    <row r="172" spans="1:10">
      <c r="A172" t="s">
        <v>1761</v>
      </c>
      <c r="B172" t="s">
        <v>1786</v>
      </c>
      <c r="C172">
        <v>4</v>
      </c>
      <c r="E172">
        <v>44246.557000000001</v>
      </c>
      <c r="G172">
        <v>4.0000000000000001E-3</v>
      </c>
      <c r="I172">
        <v>99</v>
      </c>
      <c r="J172" t="s">
        <v>1705</v>
      </c>
    </row>
    <row r="173" spans="1:10">
      <c r="A173" t="s">
        <v>1761</v>
      </c>
      <c r="B173" t="s">
        <v>1786</v>
      </c>
      <c r="C173">
        <v>5</v>
      </c>
      <c r="E173">
        <v>44307.97</v>
      </c>
      <c r="G173">
        <v>0.11</v>
      </c>
      <c r="I173">
        <v>99</v>
      </c>
      <c r="J173" t="s">
        <v>1705</v>
      </c>
    </row>
    <row r="174" spans="1:10">
      <c r="A174" t="s">
        <v>1761</v>
      </c>
      <c r="B174" t="s">
        <v>1786</v>
      </c>
      <c r="C174">
        <v>6</v>
      </c>
      <c r="E174">
        <v>44393.02</v>
      </c>
      <c r="G174">
        <v>0.19</v>
      </c>
      <c r="I174">
        <v>99</v>
      </c>
      <c r="J174" t="s">
        <v>1705</v>
      </c>
    </row>
    <row r="175" spans="1:10">
      <c r="A175" t="s">
        <v>1761</v>
      </c>
      <c r="B175" t="s">
        <v>1786</v>
      </c>
      <c r="C175">
        <v>7</v>
      </c>
      <c r="E175">
        <v>44514.35</v>
      </c>
      <c r="G175">
        <v>0.06</v>
      </c>
      <c r="I175">
        <v>99</v>
      </c>
      <c r="J175" t="s">
        <v>1705</v>
      </c>
    </row>
    <row r="176" spans="1:10">
      <c r="A176" t="s">
        <v>1761</v>
      </c>
      <c r="B176" t="s">
        <v>1786</v>
      </c>
      <c r="C176">
        <v>8</v>
      </c>
      <c r="E176">
        <v>44666.531999999999</v>
      </c>
      <c r="G176">
        <v>1.7999999999999999E-2</v>
      </c>
      <c r="I176">
        <v>100</v>
      </c>
      <c r="J176" t="s">
        <v>1705</v>
      </c>
    </row>
    <row r="177" spans="1:10">
      <c r="A177" t="s">
        <v>1787</v>
      </c>
      <c r="B177" t="s">
        <v>834</v>
      </c>
      <c r="C177">
        <v>2</v>
      </c>
      <c r="E177">
        <v>44299.917099999999</v>
      </c>
      <c r="G177">
        <v>2E-3</v>
      </c>
      <c r="H177">
        <v>0.35</v>
      </c>
      <c r="I177">
        <v>85</v>
      </c>
      <c r="J177" t="s">
        <v>1705</v>
      </c>
    </row>
    <row r="178" spans="1:10">
      <c r="A178" t="s">
        <v>1787</v>
      </c>
      <c r="B178" t="s">
        <v>834</v>
      </c>
      <c r="C178">
        <v>3</v>
      </c>
      <c r="E178">
        <v>44373.292800000003</v>
      </c>
      <c r="G178">
        <v>2E-3</v>
      </c>
      <c r="H178">
        <v>0.93</v>
      </c>
      <c r="I178">
        <v>80</v>
      </c>
      <c r="J178" t="s">
        <v>1705</v>
      </c>
    </row>
    <row r="179" spans="1:10">
      <c r="A179" t="s">
        <v>1787</v>
      </c>
      <c r="B179" t="s">
        <v>834</v>
      </c>
      <c r="C179">
        <v>4</v>
      </c>
      <c r="E179">
        <v>44534.428999999996</v>
      </c>
      <c r="G179">
        <v>3.0000000000000001E-3</v>
      </c>
      <c r="I179" t="s">
        <v>1788</v>
      </c>
      <c r="J179" t="s">
        <v>1705</v>
      </c>
    </row>
    <row r="180" spans="1:10">
      <c r="A180" t="s">
        <v>1787</v>
      </c>
      <c r="B180" t="s">
        <v>834</v>
      </c>
      <c r="C180">
        <v>5</v>
      </c>
      <c r="E180">
        <v>44591.376799999998</v>
      </c>
      <c r="G180">
        <v>1.9E-3</v>
      </c>
      <c r="H180">
        <v>1.25</v>
      </c>
      <c r="I180" t="s">
        <v>1789</v>
      </c>
      <c r="J180" t="s">
        <v>1705</v>
      </c>
    </row>
    <row r="181" spans="1:10">
      <c r="A181" t="s">
        <v>1787</v>
      </c>
      <c r="B181" t="s">
        <v>834</v>
      </c>
      <c r="C181">
        <v>6</v>
      </c>
      <c r="E181">
        <v>44746.258999999998</v>
      </c>
      <c r="G181">
        <v>2.2000000000000001E-3</v>
      </c>
      <c r="H181">
        <v>1.34</v>
      </c>
      <c r="I181" t="s">
        <v>1790</v>
      </c>
      <c r="J181" t="s">
        <v>1705</v>
      </c>
    </row>
    <row r="182" spans="1:10">
      <c r="A182" t="s">
        <v>1768</v>
      </c>
      <c r="B182" t="s">
        <v>1791</v>
      </c>
      <c r="C182">
        <v>1</v>
      </c>
      <c r="E182">
        <v>44666.690699999999</v>
      </c>
      <c r="G182">
        <v>3.0000000000000001E-3</v>
      </c>
      <c r="H182">
        <v>2.4700000000000002</v>
      </c>
      <c r="I182" t="s">
        <v>1792</v>
      </c>
      <c r="J182" t="s">
        <v>1705</v>
      </c>
    </row>
    <row r="183" spans="1:10">
      <c r="A183" t="s">
        <v>1768</v>
      </c>
      <c r="B183" t="s">
        <v>1791</v>
      </c>
      <c r="C183">
        <v>2</v>
      </c>
      <c r="E183">
        <v>44875.130100000002</v>
      </c>
      <c r="G183">
        <v>1.9E-3</v>
      </c>
      <c r="I183" t="s">
        <v>1793</v>
      </c>
      <c r="J183" t="s">
        <v>1705</v>
      </c>
    </row>
    <row r="184" spans="1:10">
      <c r="A184" t="s">
        <v>1768</v>
      </c>
      <c r="B184" t="s">
        <v>1791</v>
      </c>
      <c r="C184">
        <v>3</v>
      </c>
      <c r="E184">
        <v>45113.087399999997</v>
      </c>
      <c r="G184">
        <v>1.8E-3</v>
      </c>
      <c r="H184">
        <v>1.65</v>
      </c>
      <c r="I184" t="s">
        <v>1794</v>
      </c>
      <c r="J184" t="s">
        <v>1705</v>
      </c>
    </row>
    <row r="185" spans="1:10">
      <c r="A185" t="s">
        <v>1787</v>
      </c>
      <c r="B185" t="s">
        <v>104</v>
      </c>
      <c r="C185">
        <v>1</v>
      </c>
      <c r="E185">
        <v>45201.667600000001</v>
      </c>
      <c r="G185">
        <v>1.9E-3</v>
      </c>
      <c r="I185" t="s">
        <v>1795</v>
      </c>
      <c r="J185" t="s">
        <v>1705</v>
      </c>
    </row>
    <row r="186" spans="1:10">
      <c r="A186" t="s">
        <v>1787</v>
      </c>
      <c r="B186" t="s">
        <v>104</v>
      </c>
      <c r="C186">
        <v>2</v>
      </c>
      <c r="E186">
        <v>45225.068599999999</v>
      </c>
      <c r="G186">
        <v>1.6999999999999999E-3</v>
      </c>
      <c r="I186" t="s">
        <v>1796</v>
      </c>
      <c r="J186" t="s">
        <v>1705</v>
      </c>
    </row>
    <row r="187" spans="1:10">
      <c r="A187" t="s">
        <v>1787</v>
      </c>
      <c r="B187" t="s">
        <v>104</v>
      </c>
      <c r="C187">
        <v>3</v>
      </c>
      <c r="E187">
        <v>45255.3842</v>
      </c>
      <c r="G187">
        <v>1.6999999999999999E-3</v>
      </c>
      <c r="I187" t="s">
        <v>1797</v>
      </c>
      <c r="J187" t="s">
        <v>1705</v>
      </c>
    </row>
    <row r="188" spans="1:10">
      <c r="A188" t="s">
        <v>1787</v>
      </c>
      <c r="B188" t="s">
        <v>104</v>
      </c>
      <c r="C188">
        <v>4</v>
      </c>
      <c r="E188">
        <v>45285.964899999999</v>
      </c>
      <c r="G188">
        <v>1.5E-3</v>
      </c>
      <c r="I188" t="s">
        <v>1798</v>
      </c>
      <c r="J188" t="s">
        <v>1705</v>
      </c>
    </row>
    <row r="189" spans="1:10">
      <c r="A189" t="s">
        <v>1787</v>
      </c>
      <c r="B189" t="s">
        <v>104</v>
      </c>
      <c r="C189">
        <v>5</v>
      </c>
      <c r="E189">
        <v>45306.341699999997</v>
      </c>
      <c r="G189">
        <v>1.6000000000000001E-3</v>
      </c>
      <c r="H189">
        <v>1.41</v>
      </c>
      <c r="I189" t="s">
        <v>1799</v>
      </c>
      <c r="J189" t="s">
        <v>1705</v>
      </c>
    </row>
    <row r="190" spans="1:10">
      <c r="A190" t="s">
        <v>1777</v>
      </c>
      <c r="B190" t="s">
        <v>66</v>
      </c>
      <c r="C190">
        <v>6</v>
      </c>
      <c r="E190">
        <v>45348.679199999999</v>
      </c>
      <c r="G190">
        <v>1.6000000000000001E-3</v>
      </c>
      <c r="I190" t="s">
        <v>1800</v>
      </c>
      <c r="J190" t="s">
        <v>1705</v>
      </c>
    </row>
    <row r="191" spans="1:10">
      <c r="A191" t="s">
        <v>1777</v>
      </c>
      <c r="B191" t="s">
        <v>66</v>
      </c>
      <c r="C191">
        <v>5</v>
      </c>
      <c r="E191">
        <v>45354.15</v>
      </c>
      <c r="G191">
        <v>1.6000000000000001E-3</v>
      </c>
      <c r="I191" t="s">
        <v>1801</v>
      </c>
      <c r="J191" t="s">
        <v>1705</v>
      </c>
    </row>
    <row r="192" spans="1:10">
      <c r="A192" t="s">
        <v>1777</v>
      </c>
      <c r="B192" t="s">
        <v>66</v>
      </c>
      <c r="C192">
        <v>4</v>
      </c>
      <c r="E192">
        <v>45358.583700000003</v>
      </c>
      <c r="G192">
        <v>1.6000000000000001E-3</v>
      </c>
      <c r="I192" t="s">
        <v>1802</v>
      </c>
      <c r="J192" t="s">
        <v>1705</v>
      </c>
    </row>
    <row r="193" spans="1:10">
      <c r="A193" t="s">
        <v>1777</v>
      </c>
      <c r="B193" t="s">
        <v>1803</v>
      </c>
      <c r="C193">
        <v>3</v>
      </c>
      <c r="E193">
        <v>45566.003499999999</v>
      </c>
      <c r="G193">
        <v>2E-3</v>
      </c>
      <c r="H193">
        <v>0.52</v>
      </c>
      <c r="I193" t="s">
        <v>1804</v>
      </c>
      <c r="J193" t="s">
        <v>1705</v>
      </c>
    </row>
    <row r="194" spans="1:10">
      <c r="A194" t="s">
        <v>1777</v>
      </c>
      <c r="B194" t="s">
        <v>1803</v>
      </c>
      <c r="C194">
        <v>4</v>
      </c>
      <c r="E194">
        <v>45614.844400000002</v>
      </c>
      <c r="G194">
        <v>1.6999999999999999E-3</v>
      </c>
      <c r="I194" t="s">
        <v>1805</v>
      </c>
      <c r="J194" t="s">
        <v>1705</v>
      </c>
    </row>
    <row r="195" spans="1:10">
      <c r="A195" t="s">
        <v>1777</v>
      </c>
      <c r="B195" t="s">
        <v>1803</v>
      </c>
      <c r="C195">
        <v>5</v>
      </c>
      <c r="E195">
        <v>45663.257899999997</v>
      </c>
      <c r="G195">
        <v>1.8E-3</v>
      </c>
      <c r="I195" t="s">
        <v>1806</v>
      </c>
      <c r="J195" t="s">
        <v>1705</v>
      </c>
    </row>
    <row r="196" spans="1:10">
      <c r="A196" t="s">
        <v>1777</v>
      </c>
      <c r="B196" t="s">
        <v>1803</v>
      </c>
      <c r="C196">
        <v>6</v>
      </c>
      <c r="E196">
        <v>45707.325900000003</v>
      </c>
      <c r="G196">
        <v>1.8E-3</v>
      </c>
      <c r="I196" t="s">
        <v>1807</v>
      </c>
      <c r="J196" t="s">
        <v>1705</v>
      </c>
    </row>
    <row r="197" spans="1:10">
      <c r="A197" t="s">
        <v>1777</v>
      </c>
      <c r="B197" t="s">
        <v>1803</v>
      </c>
      <c r="C197">
        <v>7</v>
      </c>
      <c r="E197">
        <v>45741.470099999999</v>
      </c>
      <c r="G197">
        <v>2E-3</v>
      </c>
      <c r="H197">
        <v>1.29</v>
      </c>
      <c r="I197" t="s">
        <v>1808</v>
      </c>
      <c r="J197" t="s">
        <v>1705</v>
      </c>
    </row>
    <row r="198" spans="1:10">
      <c r="A198" t="s">
        <v>1809</v>
      </c>
      <c r="B198" t="s">
        <v>1810</v>
      </c>
      <c r="C198">
        <v>3</v>
      </c>
      <c r="E198">
        <v>45643.231</v>
      </c>
      <c r="G198">
        <v>1.7000000000000001E-2</v>
      </c>
      <c r="H198">
        <v>2.0499999999999998</v>
      </c>
      <c r="I198" t="s">
        <v>1708</v>
      </c>
      <c r="J198" t="s">
        <v>1705</v>
      </c>
    </row>
    <row r="199" spans="1:10">
      <c r="A199" t="s">
        <v>1783</v>
      </c>
      <c r="B199" t="s">
        <v>72</v>
      </c>
      <c r="C199">
        <v>1</v>
      </c>
      <c r="E199">
        <v>45719.216800000002</v>
      </c>
      <c r="G199">
        <v>1.8E-3</v>
      </c>
      <c r="I199" t="s">
        <v>1811</v>
      </c>
      <c r="J199" t="s">
        <v>1705</v>
      </c>
    </row>
    <row r="200" spans="1:10">
      <c r="A200" t="s">
        <v>1783</v>
      </c>
      <c r="B200" t="s">
        <v>72</v>
      </c>
      <c r="C200">
        <v>0</v>
      </c>
      <c r="E200">
        <v>45722.521999999997</v>
      </c>
      <c r="G200">
        <v>7.0000000000000001E-3</v>
      </c>
      <c r="I200" t="s">
        <v>1812</v>
      </c>
      <c r="J200" t="s">
        <v>1705</v>
      </c>
    </row>
    <row r="201" spans="1:10">
      <c r="A201" t="s">
        <v>1783</v>
      </c>
      <c r="B201" t="s">
        <v>72</v>
      </c>
      <c r="C201">
        <v>2</v>
      </c>
      <c r="E201">
        <v>45734.267</v>
      </c>
      <c r="G201">
        <v>1.5E-3</v>
      </c>
      <c r="I201" t="s">
        <v>1813</v>
      </c>
      <c r="J201" t="s">
        <v>1705</v>
      </c>
    </row>
    <row r="202" spans="1:10">
      <c r="A202" t="s">
        <v>1777</v>
      </c>
      <c r="B202" t="s">
        <v>65</v>
      </c>
      <c r="C202">
        <v>2</v>
      </c>
      <c r="E202">
        <v>45966.359700000001</v>
      </c>
      <c r="G202">
        <v>2.0999999999999999E-3</v>
      </c>
      <c r="I202" t="s">
        <v>1814</v>
      </c>
      <c r="J202" t="s">
        <v>1705</v>
      </c>
    </row>
    <row r="203" spans="1:10">
      <c r="A203" t="s">
        <v>1777</v>
      </c>
      <c r="B203" t="s">
        <v>65</v>
      </c>
      <c r="C203">
        <v>3</v>
      </c>
      <c r="E203">
        <v>46000.421300000002</v>
      </c>
      <c r="G203">
        <v>2E-3</v>
      </c>
      <c r="I203" t="s">
        <v>1815</v>
      </c>
      <c r="J203" t="s">
        <v>1705</v>
      </c>
    </row>
    <row r="204" spans="1:10">
      <c r="A204" t="s">
        <v>1777</v>
      </c>
      <c r="B204" t="s">
        <v>65</v>
      </c>
      <c r="C204">
        <v>4</v>
      </c>
      <c r="E204">
        <v>46058.197999999997</v>
      </c>
      <c r="G204">
        <v>1.6999999999999999E-3</v>
      </c>
      <c r="I204" t="s">
        <v>1816</v>
      </c>
      <c r="J204" t="s">
        <v>1705</v>
      </c>
    </row>
    <row r="205" spans="1:10">
      <c r="A205" t="s">
        <v>1809</v>
      </c>
      <c r="B205" t="s">
        <v>1817</v>
      </c>
      <c r="C205">
        <v>2</v>
      </c>
      <c r="E205">
        <v>45967.805699999997</v>
      </c>
      <c r="G205">
        <v>1.6999999999999999E-3</v>
      </c>
      <c r="I205" t="s">
        <v>1708</v>
      </c>
      <c r="J205" t="s">
        <v>1709</v>
      </c>
    </row>
    <row r="206" spans="1:10">
      <c r="A206" t="s">
        <v>1783</v>
      </c>
      <c r="B206" t="s">
        <v>62</v>
      </c>
      <c r="C206">
        <v>1</v>
      </c>
      <c r="E206">
        <v>46077.039499999999</v>
      </c>
      <c r="G206">
        <v>1.6999999999999999E-3</v>
      </c>
      <c r="I206" t="s">
        <v>1818</v>
      </c>
      <c r="J206" t="s">
        <v>1705</v>
      </c>
    </row>
    <row r="207" spans="1:10">
      <c r="A207" t="s">
        <v>1783</v>
      </c>
      <c r="B207" t="s">
        <v>62</v>
      </c>
      <c r="C207">
        <v>2</v>
      </c>
      <c r="E207">
        <v>46109.221899999997</v>
      </c>
      <c r="G207">
        <v>1.4E-3</v>
      </c>
      <c r="H207">
        <v>1.24</v>
      </c>
      <c r="I207" t="s">
        <v>1819</v>
      </c>
      <c r="J207" t="s">
        <v>1705</v>
      </c>
    </row>
    <row r="208" spans="1:10">
      <c r="A208" t="s">
        <v>1783</v>
      </c>
      <c r="B208" t="s">
        <v>62</v>
      </c>
      <c r="C208">
        <v>3</v>
      </c>
      <c r="E208">
        <v>46174.388400000003</v>
      </c>
      <c r="G208">
        <v>1.4E-3</v>
      </c>
      <c r="H208">
        <v>1.33</v>
      </c>
      <c r="I208" t="s">
        <v>1820</v>
      </c>
      <c r="J208" t="s">
        <v>1705</v>
      </c>
    </row>
    <row r="209" spans="1:10">
      <c r="A209" t="s">
        <v>1787</v>
      </c>
      <c r="B209" t="s">
        <v>102</v>
      </c>
      <c r="C209">
        <v>0</v>
      </c>
      <c r="E209">
        <v>46081.254999999997</v>
      </c>
      <c r="G209">
        <v>2E-3</v>
      </c>
      <c r="I209" t="s">
        <v>1821</v>
      </c>
      <c r="J209" t="s">
        <v>1705</v>
      </c>
    </row>
    <row r="210" spans="1:10">
      <c r="A210" t="s">
        <v>1787</v>
      </c>
      <c r="B210" t="s">
        <v>102</v>
      </c>
      <c r="C210">
        <v>1</v>
      </c>
      <c r="E210">
        <v>46298.244200000001</v>
      </c>
      <c r="G210">
        <v>1.6000000000000001E-3</v>
      </c>
      <c r="I210" t="s">
        <v>1822</v>
      </c>
      <c r="J210" t="s">
        <v>1705</v>
      </c>
    </row>
    <row r="211" spans="1:10">
      <c r="A211" t="s">
        <v>1787</v>
      </c>
      <c r="B211" t="s">
        <v>102</v>
      </c>
      <c r="C211">
        <v>2</v>
      </c>
      <c r="E211">
        <v>46349.417699999998</v>
      </c>
      <c r="G211">
        <v>1.5E-3</v>
      </c>
      <c r="I211" t="s">
        <v>1823</v>
      </c>
      <c r="J211" t="s">
        <v>1705</v>
      </c>
    </row>
    <row r="212" spans="1:10">
      <c r="A212" t="s">
        <v>1787</v>
      </c>
      <c r="B212" t="s">
        <v>102</v>
      </c>
      <c r="C212">
        <v>3</v>
      </c>
      <c r="E212">
        <v>46368.269500000002</v>
      </c>
      <c r="G212">
        <v>1.4E-3</v>
      </c>
      <c r="I212" t="s">
        <v>1824</v>
      </c>
      <c r="J212" t="s">
        <v>1705</v>
      </c>
    </row>
    <row r="213" spans="1:10">
      <c r="A213" t="s">
        <v>1787</v>
      </c>
      <c r="B213" t="s">
        <v>102</v>
      </c>
      <c r="C213">
        <v>4</v>
      </c>
      <c r="E213">
        <v>46422.422299999998</v>
      </c>
      <c r="G213">
        <v>1.8E-3</v>
      </c>
      <c r="I213" t="s">
        <v>1825</v>
      </c>
      <c r="J213" t="s">
        <v>1705</v>
      </c>
    </row>
    <row r="214" spans="1:10">
      <c r="A214" t="s">
        <v>1826</v>
      </c>
      <c r="B214" t="s">
        <v>185</v>
      </c>
      <c r="C214">
        <v>1</v>
      </c>
      <c r="E214">
        <v>46448.628900000003</v>
      </c>
      <c r="G214">
        <v>1.8E-3</v>
      </c>
      <c r="H214">
        <v>2.99</v>
      </c>
      <c r="I214" t="s">
        <v>1708</v>
      </c>
      <c r="J214" t="s">
        <v>1705</v>
      </c>
    </row>
    <row r="215" spans="1:10">
      <c r="A215" t="s">
        <v>1826</v>
      </c>
      <c r="B215" t="s">
        <v>185</v>
      </c>
      <c r="C215">
        <v>2</v>
      </c>
      <c r="E215">
        <v>46524.918700000002</v>
      </c>
      <c r="G215">
        <v>1.5E-3</v>
      </c>
      <c r="H215">
        <v>1.99</v>
      </c>
      <c r="I215" t="s">
        <v>1708</v>
      </c>
      <c r="J215" t="s">
        <v>1705</v>
      </c>
    </row>
    <row r="216" spans="1:10">
      <c r="A216" t="s">
        <v>1826</v>
      </c>
      <c r="B216" t="s">
        <v>185</v>
      </c>
      <c r="C216">
        <v>3</v>
      </c>
      <c r="E216">
        <v>46637.2307</v>
      </c>
      <c r="G216">
        <v>1.4E-3</v>
      </c>
      <c r="H216">
        <v>1.77</v>
      </c>
      <c r="I216" t="s">
        <v>1708</v>
      </c>
      <c r="J216" t="s">
        <v>1705</v>
      </c>
    </row>
    <row r="217" spans="1:10">
      <c r="A217" t="s">
        <v>1826</v>
      </c>
      <c r="B217" t="s">
        <v>185</v>
      </c>
      <c r="C217">
        <v>4</v>
      </c>
      <c r="E217">
        <v>46783.052799999998</v>
      </c>
      <c r="G217">
        <v>1.4E-3</v>
      </c>
      <c r="H217">
        <v>1.63</v>
      </c>
      <c r="I217" t="s">
        <v>1708</v>
      </c>
      <c r="J217" t="s">
        <v>1705</v>
      </c>
    </row>
    <row r="218" spans="1:10">
      <c r="A218" t="s">
        <v>1826</v>
      </c>
      <c r="B218" t="s">
        <v>185</v>
      </c>
      <c r="C218">
        <v>5</v>
      </c>
      <c r="E218">
        <v>46959.025500000003</v>
      </c>
      <c r="G218">
        <v>1.6999999999999999E-3</v>
      </c>
      <c r="H218">
        <v>1.61</v>
      </c>
      <c r="I218" t="s">
        <v>1708</v>
      </c>
      <c r="J218" t="s">
        <v>1705</v>
      </c>
    </row>
    <row r="219" spans="1:10">
      <c r="A219" t="s">
        <v>1827</v>
      </c>
      <c r="B219" t="s">
        <v>1828</v>
      </c>
      <c r="C219">
        <v>2</v>
      </c>
      <c r="E219">
        <v>46677.163399999998</v>
      </c>
      <c r="G219">
        <v>1.8E-3</v>
      </c>
      <c r="I219" t="s">
        <v>1829</v>
      </c>
      <c r="J219" t="s">
        <v>1705</v>
      </c>
    </row>
    <row r="220" spans="1:10">
      <c r="A220" t="s">
        <v>1827</v>
      </c>
      <c r="B220" t="s">
        <v>1828</v>
      </c>
      <c r="C220">
        <v>1</v>
      </c>
      <c r="E220">
        <v>46678.375</v>
      </c>
      <c r="G220">
        <v>4.0000000000000001E-3</v>
      </c>
      <c r="I220" t="s">
        <v>1830</v>
      </c>
      <c r="J220" t="s">
        <v>1705</v>
      </c>
    </row>
    <row r="221" spans="1:10">
      <c r="A221" t="s">
        <v>1827</v>
      </c>
      <c r="B221" t="s">
        <v>1828</v>
      </c>
      <c r="C221">
        <v>3</v>
      </c>
      <c r="E221">
        <v>46688.226499999997</v>
      </c>
      <c r="G221">
        <v>1.4E-3</v>
      </c>
      <c r="H221">
        <v>1.25</v>
      </c>
      <c r="I221" t="s">
        <v>1831</v>
      </c>
      <c r="J221" t="s">
        <v>1705</v>
      </c>
    </row>
    <row r="222" spans="1:10">
      <c r="A222" t="s">
        <v>1827</v>
      </c>
      <c r="B222" t="s">
        <v>1828</v>
      </c>
      <c r="C222">
        <v>5</v>
      </c>
      <c r="E222">
        <v>46704.9067</v>
      </c>
      <c r="G222">
        <v>1.5E-3</v>
      </c>
      <c r="H222">
        <v>1.37</v>
      </c>
      <c r="I222" t="s">
        <v>1832</v>
      </c>
      <c r="J222" t="s">
        <v>1705</v>
      </c>
    </row>
    <row r="223" spans="1:10">
      <c r="A223" t="s">
        <v>1827</v>
      </c>
      <c r="B223" t="s">
        <v>1828</v>
      </c>
      <c r="C223">
        <v>4</v>
      </c>
      <c r="E223">
        <v>46720.471100000002</v>
      </c>
      <c r="G223">
        <v>1.5E-3</v>
      </c>
      <c r="I223" t="s">
        <v>1833</v>
      </c>
      <c r="J223" t="s">
        <v>1705</v>
      </c>
    </row>
    <row r="224" spans="1:10">
      <c r="A224" t="s">
        <v>1761</v>
      </c>
      <c r="B224" t="s">
        <v>49</v>
      </c>
      <c r="C224">
        <v>3</v>
      </c>
      <c r="E224">
        <v>46846.748</v>
      </c>
      <c r="G224">
        <v>1.6000000000000001E-3</v>
      </c>
      <c r="I224" t="s">
        <v>1834</v>
      </c>
      <c r="J224" t="s">
        <v>1705</v>
      </c>
    </row>
    <row r="225" spans="1:10">
      <c r="A225" t="s">
        <v>1761</v>
      </c>
      <c r="B225" t="s">
        <v>49</v>
      </c>
      <c r="C225">
        <v>4</v>
      </c>
      <c r="E225">
        <v>46905.038200000003</v>
      </c>
      <c r="G225">
        <v>1.5E-3</v>
      </c>
      <c r="I225" t="s">
        <v>1835</v>
      </c>
      <c r="J225" t="s">
        <v>1705</v>
      </c>
    </row>
    <row r="226" spans="1:10">
      <c r="A226" t="s">
        <v>1761</v>
      </c>
      <c r="B226" t="s">
        <v>49</v>
      </c>
      <c r="C226">
        <v>5</v>
      </c>
      <c r="E226">
        <v>46985.8465</v>
      </c>
      <c r="G226">
        <v>1.6000000000000001E-3</v>
      </c>
      <c r="I226" t="s">
        <v>1836</v>
      </c>
      <c r="J226" t="s">
        <v>1705</v>
      </c>
    </row>
    <row r="227" spans="1:10">
      <c r="A227" t="s">
        <v>1783</v>
      </c>
      <c r="B227" t="s">
        <v>1837</v>
      </c>
      <c r="C227">
        <v>3</v>
      </c>
      <c r="E227">
        <v>46878.557999999997</v>
      </c>
      <c r="G227">
        <v>2.2000000000000001E-3</v>
      </c>
      <c r="H227">
        <v>1.68</v>
      </c>
      <c r="I227" t="s">
        <v>1838</v>
      </c>
      <c r="J227" t="s">
        <v>1705</v>
      </c>
    </row>
    <row r="228" spans="1:10">
      <c r="A228" t="s">
        <v>1783</v>
      </c>
      <c r="B228" t="s">
        <v>1837</v>
      </c>
      <c r="C228">
        <v>2</v>
      </c>
      <c r="E228">
        <v>46967.682699999998</v>
      </c>
      <c r="G228">
        <v>1.2999999999999999E-3</v>
      </c>
      <c r="H228">
        <v>1.84</v>
      </c>
      <c r="I228" t="s">
        <v>1839</v>
      </c>
      <c r="J228" t="s">
        <v>1705</v>
      </c>
    </row>
    <row r="229" spans="1:10">
      <c r="A229" t="s">
        <v>1783</v>
      </c>
      <c r="B229" t="s">
        <v>1837</v>
      </c>
      <c r="C229">
        <v>1</v>
      </c>
      <c r="E229">
        <v>47021.711199999998</v>
      </c>
      <c r="G229">
        <v>1.6000000000000001E-3</v>
      </c>
      <c r="H229">
        <v>2.42</v>
      </c>
      <c r="I229" t="s">
        <v>1840</v>
      </c>
      <c r="J229" t="s">
        <v>1705</v>
      </c>
    </row>
    <row r="230" spans="1:10">
      <c r="A230" t="s">
        <v>1761</v>
      </c>
      <c r="B230" t="s">
        <v>1841</v>
      </c>
      <c r="C230">
        <v>2</v>
      </c>
      <c r="E230">
        <v>47047.484499999999</v>
      </c>
      <c r="G230">
        <v>2E-3</v>
      </c>
      <c r="H230">
        <v>0.45</v>
      </c>
      <c r="I230" t="s">
        <v>1842</v>
      </c>
      <c r="J230" t="s">
        <v>1705</v>
      </c>
    </row>
    <row r="231" spans="1:10">
      <c r="A231" t="s">
        <v>1761</v>
      </c>
      <c r="B231" t="s">
        <v>1841</v>
      </c>
      <c r="C231">
        <v>3</v>
      </c>
      <c r="E231">
        <v>47125.641199999998</v>
      </c>
      <c r="G231">
        <v>1.8E-3</v>
      </c>
      <c r="H231">
        <v>0.96</v>
      </c>
      <c r="I231" t="s">
        <v>1843</v>
      </c>
      <c r="J231" t="s">
        <v>1705</v>
      </c>
    </row>
    <row r="232" spans="1:10">
      <c r="A232" t="s">
        <v>1761</v>
      </c>
      <c r="B232" t="s">
        <v>1841</v>
      </c>
      <c r="C232">
        <v>4</v>
      </c>
      <c r="E232">
        <v>47189.911</v>
      </c>
      <c r="G232">
        <v>2.0999999999999999E-3</v>
      </c>
      <c r="I232" t="s">
        <v>1844</v>
      </c>
      <c r="J232" t="s">
        <v>1705</v>
      </c>
    </row>
    <row r="233" spans="1:10">
      <c r="A233" t="s">
        <v>1761</v>
      </c>
      <c r="B233" t="s">
        <v>1841</v>
      </c>
      <c r="C233">
        <v>6</v>
      </c>
      <c r="E233">
        <v>47222.208100000003</v>
      </c>
      <c r="G233">
        <v>2E-3</v>
      </c>
      <c r="H233">
        <v>1.44</v>
      </c>
      <c r="I233" t="s">
        <v>1845</v>
      </c>
      <c r="J233" t="s">
        <v>1705</v>
      </c>
    </row>
    <row r="234" spans="1:10">
      <c r="A234" t="s">
        <v>1761</v>
      </c>
      <c r="B234" t="s">
        <v>1841</v>
      </c>
      <c r="C234">
        <v>5</v>
      </c>
      <c r="E234">
        <v>47228.759899999997</v>
      </c>
      <c r="G234">
        <v>1.8E-3</v>
      </c>
      <c r="H234">
        <v>1.27</v>
      </c>
      <c r="I234" t="s">
        <v>1846</v>
      </c>
      <c r="J234" t="s">
        <v>1705</v>
      </c>
    </row>
    <row r="235" spans="1:10">
      <c r="A235" t="s">
        <v>1777</v>
      </c>
      <c r="B235" t="s">
        <v>70</v>
      </c>
      <c r="C235">
        <v>3</v>
      </c>
      <c r="E235">
        <v>47048.416100000002</v>
      </c>
      <c r="G235">
        <v>2E-3</v>
      </c>
      <c r="I235" t="s">
        <v>1847</v>
      </c>
      <c r="J235" t="s">
        <v>1705</v>
      </c>
    </row>
    <row r="236" spans="1:10">
      <c r="A236" t="s">
        <v>1777</v>
      </c>
      <c r="B236" t="s">
        <v>70</v>
      </c>
      <c r="C236">
        <v>4</v>
      </c>
      <c r="E236">
        <v>47054.907200000001</v>
      </c>
      <c r="G236">
        <v>1.4E-3</v>
      </c>
      <c r="I236" t="s">
        <v>1848</v>
      </c>
      <c r="J236" t="s">
        <v>1705</v>
      </c>
    </row>
    <row r="237" spans="1:10">
      <c r="A237" t="s">
        <v>1777</v>
      </c>
      <c r="B237" t="s">
        <v>70</v>
      </c>
      <c r="C237">
        <v>5</v>
      </c>
      <c r="E237">
        <v>47055.3416</v>
      </c>
      <c r="G237">
        <v>1.5E-3</v>
      </c>
      <c r="I237" t="s">
        <v>1849</v>
      </c>
      <c r="J237" t="s">
        <v>1705</v>
      </c>
    </row>
    <row r="238" spans="1:10">
      <c r="A238" t="s">
        <v>1768</v>
      </c>
      <c r="B238" t="s">
        <v>67</v>
      </c>
      <c r="C238">
        <v>1</v>
      </c>
      <c r="E238">
        <v>47088.389000000003</v>
      </c>
      <c r="G238">
        <v>4.0000000000000001E-3</v>
      </c>
      <c r="I238" t="s">
        <v>1850</v>
      </c>
      <c r="J238" t="s">
        <v>1705</v>
      </c>
    </row>
    <row r="239" spans="1:10">
      <c r="A239" t="s">
        <v>1761</v>
      </c>
      <c r="B239" t="s">
        <v>83</v>
      </c>
      <c r="C239">
        <v>5</v>
      </c>
      <c r="E239">
        <v>47586.031799999997</v>
      </c>
      <c r="G239">
        <v>2E-3</v>
      </c>
      <c r="I239" t="s">
        <v>1851</v>
      </c>
      <c r="J239" t="s">
        <v>1705</v>
      </c>
    </row>
    <row r="240" spans="1:10">
      <c r="A240" t="s">
        <v>1761</v>
      </c>
      <c r="B240" t="s">
        <v>83</v>
      </c>
      <c r="C240">
        <v>6</v>
      </c>
      <c r="E240">
        <v>47630.375</v>
      </c>
      <c r="G240">
        <v>2E-3</v>
      </c>
      <c r="I240" t="s">
        <v>1852</v>
      </c>
      <c r="J240" t="s">
        <v>1705</v>
      </c>
    </row>
    <row r="241" spans="1:10">
      <c r="A241" t="s">
        <v>1761</v>
      </c>
      <c r="B241" t="s">
        <v>83</v>
      </c>
      <c r="C241">
        <v>7</v>
      </c>
      <c r="E241">
        <v>47692.589399999997</v>
      </c>
      <c r="G241">
        <v>2E-3</v>
      </c>
      <c r="I241" t="s">
        <v>1853</v>
      </c>
      <c r="J241" t="s">
        <v>1705</v>
      </c>
    </row>
    <row r="242" spans="1:10">
      <c r="A242" t="s">
        <v>1827</v>
      </c>
      <c r="B242" t="s">
        <v>1854</v>
      </c>
      <c r="C242">
        <v>3</v>
      </c>
      <c r="E242">
        <v>47621.362999999998</v>
      </c>
      <c r="G242">
        <v>4.0000000000000001E-3</v>
      </c>
      <c r="I242" t="s">
        <v>1855</v>
      </c>
      <c r="J242" t="s">
        <v>1705</v>
      </c>
    </row>
    <row r="243" spans="1:10">
      <c r="A243" t="s">
        <v>1827</v>
      </c>
      <c r="B243" t="s">
        <v>1854</v>
      </c>
      <c r="C243">
        <v>4</v>
      </c>
      <c r="E243">
        <v>47688.489000000001</v>
      </c>
      <c r="G243">
        <v>3.0000000000000001E-3</v>
      </c>
      <c r="I243" t="s">
        <v>1856</v>
      </c>
      <c r="J243" t="s">
        <v>1705</v>
      </c>
    </row>
    <row r="244" spans="1:10">
      <c r="A244" t="s">
        <v>1827</v>
      </c>
      <c r="B244" t="s">
        <v>1854</v>
      </c>
      <c r="C244">
        <v>5</v>
      </c>
      <c r="E244">
        <v>47793.714999999997</v>
      </c>
      <c r="G244">
        <v>3.0000000000000001E-3</v>
      </c>
      <c r="I244" t="s">
        <v>1857</v>
      </c>
      <c r="J244" t="s">
        <v>1705</v>
      </c>
    </row>
    <row r="245" spans="1:10">
      <c r="A245" t="s">
        <v>1827</v>
      </c>
      <c r="B245" t="s">
        <v>1854</v>
      </c>
      <c r="C245">
        <v>6</v>
      </c>
      <c r="E245">
        <v>47942.199000000001</v>
      </c>
      <c r="G245">
        <v>2E-3</v>
      </c>
      <c r="I245" t="s">
        <v>1858</v>
      </c>
      <c r="J245" t="s">
        <v>1705</v>
      </c>
    </row>
    <row r="246" spans="1:10">
      <c r="A246" t="s">
        <v>1827</v>
      </c>
      <c r="B246" t="s">
        <v>1854</v>
      </c>
      <c r="C246">
        <v>7</v>
      </c>
      <c r="E246">
        <v>48140.101000000002</v>
      </c>
      <c r="G246">
        <v>2E-3</v>
      </c>
      <c r="I246" t="s">
        <v>1859</v>
      </c>
      <c r="J246" t="s">
        <v>1705</v>
      </c>
    </row>
    <row r="247" spans="1:10">
      <c r="A247" t="s">
        <v>1860</v>
      </c>
      <c r="B247" t="s">
        <v>1861</v>
      </c>
      <c r="C247">
        <v>1</v>
      </c>
      <c r="E247">
        <v>47629.671999999999</v>
      </c>
      <c r="G247">
        <v>2.2000000000000001E-3</v>
      </c>
      <c r="I247" t="s">
        <v>1708</v>
      </c>
      <c r="J247" t="s">
        <v>1709</v>
      </c>
    </row>
    <row r="248" spans="1:10">
      <c r="A248" t="s">
        <v>1860</v>
      </c>
      <c r="B248" t="s">
        <v>1861</v>
      </c>
      <c r="C248">
        <v>2</v>
      </c>
      <c r="E248">
        <v>47631.677100000001</v>
      </c>
      <c r="G248">
        <v>1.6000000000000001E-3</v>
      </c>
      <c r="I248" t="s">
        <v>1708</v>
      </c>
      <c r="J248" t="s">
        <v>1709</v>
      </c>
    </row>
    <row r="249" spans="1:10">
      <c r="A249" t="s">
        <v>1860</v>
      </c>
      <c r="B249" t="s">
        <v>1861</v>
      </c>
      <c r="C249">
        <v>3</v>
      </c>
      <c r="E249">
        <v>47636.483699999997</v>
      </c>
      <c r="G249">
        <v>1.5E-3</v>
      </c>
      <c r="I249" t="s">
        <v>1708</v>
      </c>
      <c r="J249" t="s">
        <v>1709</v>
      </c>
    </row>
    <row r="250" spans="1:10">
      <c r="A250" t="s">
        <v>1860</v>
      </c>
      <c r="B250" t="s">
        <v>1861</v>
      </c>
      <c r="C250">
        <v>4</v>
      </c>
      <c r="E250">
        <v>47640.062700000002</v>
      </c>
      <c r="G250">
        <v>1.4E-3</v>
      </c>
      <c r="H250">
        <v>1.34</v>
      </c>
      <c r="I250" t="s">
        <v>1708</v>
      </c>
      <c r="J250" t="s">
        <v>1705</v>
      </c>
    </row>
    <row r="251" spans="1:10">
      <c r="A251" t="s">
        <v>1860</v>
      </c>
      <c r="B251" t="s">
        <v>1861</v>
      </c>
      <c r="C251">
        <v>5</v>
      </c>
      <c r="E251">
        <v>47644.942900000002</v>
      </c>
      <c r="G251">
        <v>1.6999999999999999E-3</v>
      </c>
      <c r="I251" t="s">
        <v>1708</v>
      </c>
      <c r="J251" t="s">
        <v>1709</v>
      </c>
    </row>
    <row r="252" spans="1:10">
      <c r="A252" t="s">
        <v>1862</v>
      </c>
      <c r="B252" t="s">
        <v>1863</v>
      </c>
      <c r="C252">
        <v>2</v>
      </c>
      <c r="E252">
        <v>47698.6</v>
      </c>
      <c r="G252">
        <v>2</v>
      </c>
      <c r="I252" t="s">
        <v>1708</v>
      </c>
      <c r="J252" t="s">
        <v>1709</v>
      </c>
    </row>
    <row r="253" spans="1:10">
      <c r="A253" t="s">
        <v>1862</v>
      </c>
      <c r="B253" t="s">
        <v>1863</v>
      </c>
      <c r="C253">
        <v>3</v>
      </c>
      <c r="E253">
        <v>47708.35</v>
      </c>
      <c r="G253">
        <v>0.14000000000000001</v>
      </c>
      <c r="I253" t="s">
        <v>1708</v>
      </c>
      <c r="J253" t="s">
        <v>1709</v>
      </c>
    </row>
    <row r="254" spans="1:10">
      <c r="A254" t="s">
        <v>1862</v>
      </c>
      <c r="B254" t="s">
        <v>1863</v>
      </c>
      <c r="C254">
        <v>4</v>
      </c>
      <c r="E254">
        <v>47719.18</v>
      </c>
      <c r="G254">
        <v>0.17</v>
      </c>
      <c r="I254" t="s">
        <v>1708</v>
      </c>
      <c r="J254" t="s">
        <v>1709</v>
      </c>
    </row>
    <row r="255" spans="1:10">
      <c r="A255" t="s">
        <v>1864</v>
      </c>
      <c r="B255" t="s">
        <v>1865</v>
      </c>
      <c r="C255">
        <v>1</v>
      </c>
      <c r="E255">
        <v>47700.1</v>
      </c>
      <c r="G255">
        <v>0.4</v>
      </c>
      <c r="I255" t="s">
        <v>1708</v>
      </c>
      <c r="J255" t="s">
        <v>1709</v>
      </c>
    </row>
    <row r="256" spans="1:10">
      <c r="A256" t="s">
        <v>1864</v>
      </c>
      <c r="B256" t="s">
        <v>1865</v>
      </c>
      <c r="C256">
        <v>2</v>
      </c>
      <c r="E256">
        <v>47700.904999999999</v>
      </c>
      <c r="G256">
        <v>1.4E-2</v>
      </c>
      <c r="I256" t="s">
        <v>1708</v>
      </c>
      <c r="J256" t="s">
        <v>1709</v>
      </c>
    </row>
    <row r="257" spans="1:10">
      <c r="A257" t="s">
        <v>1864</v>
      </c>
      <c r="B257" t="s">
        <v>1865</v>
      </c>
      <c r="C257">
        <v>3</v>
      </c>
      <c r="E257">
        <v>47702.39</v>
      </c>
      <c r="G257">
        <v>5.0000000000000001E-3</v>
      </c>
      <c r="I257" t="s">
        <v>1708</v>
      </c>
      <c r="J257" t="s">
        <v>1709</v>
      </c>
    </row>
    <row r="258" spans="1:10">
      <c r="A258" t="s">
        <v>1864</v>
      </c>
      <c r="B258" t="s">
        <v>1865</v>
      </c>
      <c r="C258">
        <v>4</v>
      </c>
      <c r="E258">
        <v>47704.62</v>
      </c>
      <c r="G258">
        <v>0.3</v>
      </c>
      <c r="I258" t="s">
        <v>1708</v>
      </c>
      <c r="J258" t="s">
        <v>1709</v>
      </c>
    </row>
    <row r="259" spans="1:10">
      <c r="A259" t="s">
        <v>1864</v>
      </c>
      <c r="B259" t="s">
        <v>1865</v>
      </c>
      <c r="C259">
        <v>5</v>
      </c>
      <c r="E259">
        <v>47709.847999999998</v>
      </c>
      <c r="G259">
        <v>3.0000000000000001E-3</v>
      </c>
      <c r="I259" t="s">
        <v>1708</v>
      </c>
      <c r="J259" t="s">
        <v>1709</v>
      </c>
    </row>
    <row r="260" spans="1:10">
      <c r="A260" t="s">
        <v>1783</v>
      </c>
      <c r="B260" t="s">
        <v>1866</v>
      </c>
      <c r="C260">
        <v>1</v>
      </c>
      <c r="E260">
        <v>47772.270199999999</v>
      </c>
      <c r="G260">
        <v>1.8E-3</v>
      </c>
      <c r="H260">
        <v>1.37</v>
      </c>
      <c r="I260" t="s">
        <v>1867</v>
      </c>
      <c r="J260" t="s">
        <v>1705</v>
      </c>
    </row>
    <row r="261" spans="1:10">
      <c r="A261" t="s">
        <v>1783</v>
      </c>
      <c r="B261" t="s">
        <v>1866</v>
      </c>
      <c r="C261">
        <v>2</v>
      </c>
      <c r="E261">
        <v>47786.0959</v>
      </c>
      <c r="G261">
        <v>1.6000000000000001E-3</v>
      </c>
      <c r="H261">
        <v>1.39</v>
      </c>
      <c r="I261" t="s">
        <v>1867</v>
      </c>
      <c r="J261" t="s">
        <v>1705</v>
      </c>
    </row>
    <row r="262" spans="1:10">
      <c r="A262" t="s">
        <v>1783</v>
      </c>
      <c r="B262" t="s">
        <v>1866</v>
      </c>
      <c r="C262">
        <v>0</v>
      </c>
      <c r="E262">
        <v>47787.993000000002</v>
      </c>
      <c r="G262">
        <v>3.0000000000000001E-3</v>
      </c>
      <c r="I262" t="s">
        <v>1868</v>
      </c>
      <c r="J262" t="s">
        <v>1705</v>
      </c>
    </row>
    <row r="263" spans="1:10">
      <c r="A263" t="s">
        <v>1783</v>
      </c>
      <c r="B263" t="s">
        <v>1866</v>
      </c>
      <c r="C263">
        <v>3</v>
      </c>
      <c r="E263">
        <v>47814.382299999997</v>
      </c>
      <c r="G263">
        <v>1.5E-3</v>
      </c>
      <c r="H263">
        <v>1.53</v>
      </c>
      <c r="I263" t="s">
        <v>1869</v>
      </c>
      <c r="J263" t="s">
        <v>1705</v>
      </c>
    </row>
    <row r="264" spans="1:10">
      <c r="A264" t="s">
        <v>1783</v>
      </c>
      <c r="B264" t="s">
        <v>1866</v>
      </c>
      <c r="C264">
        <v>4</v>
      </c>
      <c r="E264">
        <v>47866.460400000004</v>
      </c>
      <c r="G264">
        <v>1.6000000000000001E-3</v>
      </c>
      <c r="H264">
        <v>1.5</v>
      </c>
      <c r="I264" t="s">
        <v>1870</v>
      </c>
      <c r="J264" t="s">
        <v>1705</v>
      </c>
    </row>
    <row r="265" spans="1:10">
      <c r="A265" t="s">
        <v>1777</v>
      </c>
      <c r="B265" t="s">
        <v>1871</v>
      </c>
      <c r="C265">
        <v>1</v>
      </c>
      <c r="E265">
        <v>47877.595999999998</v>
      </c>
      <c r="G265">
        <v>2.2000000000000001E-3</v>
      </c>
      <c r="H265">
        <v>0</v>
      </c>
      <c r="I265" t="s">
        <v>1872</v>
      </c>
      <c r="J265" t="s">
        <v>1705</v>
      </c>
    </row>
    <row r="266" spans="1:10">
      <c r="A266" t="s">
        <v>1777</v>
      </c>
      <c r="B266" t="s">
        <v>1871</v>
      </c>
      <c r="C266">
        <v>2</v>
      </c>
      <c r="E266">
        <v>47917.919699999999</v>
      </c>
      <c r="G266">
        <v>1.6999999999999999E-3</v>
      </c>
      <c r="H266">
        <v>1.04</v>
      </c>
      <c r="I266" t="s">
        <v>1873</v>
      </c>
      <c r="J266" t="s">
        <v>1705</v>
      </c>
    </row>
    <row r="267" spans="1:10">
      <c r="A267" t="s">
        <v>1777</v>
      </c>
      <c r="B267" t="s">
        <v>1871</v>
      </c>
      <c r="C267">
        <v>3</v>
      </c>
      <c r="E267">
        <v>47974.551200000002</v>
      </c>
      <c r="G267">
        <v>1.6000000000000001E-3</v>
      </c>
      <c r="H267">
        <v>1.36</v>
      </c>
      <c r="I267" t="s">
        <v>1874</v>
      </c>
      <c r="J267" t="s">
        <v>1705</v>
      </c>
    </row>
    <row r="268" spans="1:10">
      <c r="A268" t="s">
        <v>1777</v>
      </c>
      <c r="B268" t="s">
        <v>1871</v>
      </c>
      <c r="C268">
        <v>5</v>
      </c>
      <c r="E268">
        <v>47985.786999999997</v>
      </c>
      <c r="G268">
        <v>6.0000000000000001E-3</v>
      </c>
      <c r="H268">
        <v>1.38</v>
      </c>
      <c r="I268" t="s">
        <v>1875</v>
      </c>
      <c r="J268" t="s">
        <v>1705</v>
      </c>
    </row>
    <row r="269" spans="1:10">
      <c r="A269" t="s">
        <v>1777</v>
      </c>
      <c r="B269" t="s">
        <v>1871</v>
      </c>
      <c r="C269">
        <v>4</v>
      </c>
      <c r="E269">
        <v>48014.373099999997</v>
      </c>
      <c r="G269">
        <v>1.6000000000000001E-3</v>
      </c>
      <c r="I269" t="s">
        <v>1876</v>
      </c>
      <c r="J269" t="s">
        <v>1705</v>
      </c>
    </row>
    <row r="270" spans="1:10">
      <c r="B270" t="s">
        <v>291</v>
      </c>
      <c r="C270">
        <v>4</v>
      </c>
      <c r="E270">
        <v>48042.718699999998</v>
      </c>
      <c r="G270">
        <v>2E-3</v>
      </c>
      <c r="I270" t="s">
        <v>1708</v>
      </c>
      <c r="J270" t="s">
        <v>1709</v>
      </c>
    </row>
    <row r="271" spans="1:10">
      <c r="A271" t="s">
        <v>1787</v>
      </c>
      <c r="B271" t="s">
        <v>287</v>
      </c>
      <c r="C271">
        <v>1</v>
      </c>
      <c r="E271">
        <v>48210.017999999996</v>
      </c>
      <c r="G271">
        <v>4.0000000000000001E-3</v>
      </c>
      <c r="I271" t="s">
        <v>1877</v>
      </c>
      <c r="J271" t="s">
        <v>1705</v>
      </c>
    </row>
    <row r="272" spans="1:10">
      <c r="A272" t="s">
        <v>1787</v>
      </c>
      <c r="B272" t="s">
        <v>287</v>
      </c>
      <c r="C272">
        <v>2</v>
      </c>
      <c r="E272">
        <v>48217.841999999997</v>
      </c>
      <c r="G272">
        <v>3.0000000000000001E-3</v>
      </c>
      <c r="I272" t="s">
        <v>1878</v>
      </c>
      <c r="J272" t="s">
        <v>1705</v>
      </c>
    </row>
    <row r="273" spans="1:10">
      <c r="A273" t="s">
        <v>1787</v>
      </c>
      <c r="B273" t="s">
        <v>287</v>
      </c>
      <c r="C273">
        <v>3</v>
      </c>
      <c r="E273">
        <v>48251.932999999997</v>
      </c>
      <c r="G273">
        <v>4.0000000000000001E-3</v>
      </c>
      <c r="I273" t="s">
        <v>1879</v>
      </c>
      <c r="J273" t="s">
        <v>1705</v>
      </c>
    </row>
    <row r="274" spans="1:10">
      <c r="A274" t="s">
        <v>1768</v>
      </c>
      <c r="B274" t="s">
        <v>100</v>
      </c>
      <c r="C274">
        <v>0</v>
      </c>
      <c r="E274">
        <v>48226.171000000002</v>
      </c>
      <c r="G274">
        <v>1.6E-2</v>
      </c>
      <c r="I274" t="s">
        <v>1880</v>
      </c>
      <c r="J274" t="s">
        <v>1705</v>
      </c>
    </row>
    <row r="275" spans="1:10">
      <c r="A275" t="s">
        <v>1768</v>
      </c>
      <c r="B275" t="s">
        <v>100</v>
      </c>
      <c r="C275">
        <v>1</v>
      </c>
      <c r="E275">
        <v>48331.241999999998</v>
      </c>
      <c r="G275">
        <v>4.0000000000000001E-3</v>
      </c>
      <c r="I275" t="s">
        <v>1881</v>
      </c>
      <c r="J275" t="s">
        <v>1705</v>
      </c>
    </row>
    <row r="276" spans="1:10">
      <c r="A276" t="s">
        <v>1768</v>
      </c>
      <c r="B276" t="s">
        <v>100</v>
      </c>
      <c r="C276">
        <v>2</v>
      </c>
      <c r="E276">
        <v>48458.578000000001</v>
      </c>
      <c r="G276">
        <v>2.0999999999999999E-3</v>
      </c>
      <c r="I276" t="s">
        <v>1882</v>
      </c>
      <c r="J276" t="s">
        <v>1705</v>
      </c>
    </row>
    <row r="277" spans="1:10">
      <c r="A277" t="s">
        <v>1761</v>
      </c>
      <c r="B277" t="s">
        <v>95</v>
      </c>
      <c r="C277">
        <v>4</v>
      </c>
      <c r="E277">
        <v>48288.355600000003</v>
      </c>
      <c r="G277">
        <v>2E-3</v>
      </c>
      <c r="I277">
        <v>76</v>
      </c>
      <c r="J277" t="s">
        <v>1705</v>
      </c>
    </row>
    <row r="278" spans="1:10">
      <c r="A278" t="s">
        <v>1761</v>
      </c>
      <c r="B278" t="s">
        <v>95</v>
      </c>
      <c r="C278">
        <v>5</v>
      </c>
      <c r="E278">
        <v>48310.35</v>
      </c>
      <c r="G278">
        <v>1.6999999999999999E-3</v>
      </c>
      <c r="I278">
        <v>89</v>
      </c>
      <c r="J278" t="s">
        <v>1705</v>
      </c>
    </row>
    <row r="279" spans="1:10">
      <c r="A279" t="s">
        <v>1761</v>
      </c>
      <c r="B279" t="s">
        <v>95</v>
      </c>
      <c r="C279">
        <v>6</v>
      </c>
      <c r="E279">
        <v>48445.294300000001</v>
      </c>
      <c r="G279">
        <v>1.8E-3</v>
      </c>
      <c r="I279">
        <v>83</v>
      </c>
      <c r="J279" t="s">
        <v>1705</v>
      </c>
    </row>
    <row r="280" spans="1:10">
      <c r="A280" t="s">
        <v>1826</v>
      </c>
      <c r="B280" t="s">
        <v>194</v>
      </c>
      <c r="C280">
        <v>0</v>
      </c>
      <c r="E280">
        <v>48488.097999999998</v>
      </c>
      <c r="G280">
        <v>8.9999999999999993E-3</v>
      </c>
      <c r="I280" t="s">
        <v>1708</v>
      </c>
      <c r="J280" t="s">
        <v>1709</v>
      </c>
    </row>
    <row r="281" spans="1:10">
      <c r="A281" t="s">
        <v>1826</v>
      </c>
      <c r="B281" t="s">
        <v>194</v>
      </c>
      <c r="C281">
        <v>1</v>
      </c>
      <c r="E281">
        <v>48507.408000000003</v>
      </c>
      <c r="G281">
        <v>3.0000000000000001E-3</v>
      </c>
      <c r="I281" t="s">
        <v>1708</v>
      </c>
      <c r="J281" t="s">
        <v>1709</v>
      </c>
    </row>
    <row r="282" spans="1:10">
      <c r="A282" t="s">
        <v>1826</v>
      </c>
      <c r="B282" t="s">
        <v>194</v>
      </c>
      <c r="C282">
        <v>2</v>
      </c>
      <c r="E282">
        <v>48558.402999999998</v>
      </c>
      <c r="G282">
        <v>2E-3</v>
      </c>
      <c r="I282" t="s">
        <v>1708</v>
      </c>
      <c r="J282" t="s">
        <v>1709</v>
      </c>
    </row>
    <row r="283" spans="1:10">
      <c r="A283" t="s">
        <v>1826</v>
      </c>
      <c r="B283" t="s">
        <v>194</v>
      </c>
      <c r="C283">
        <v>3</v>
      </c>
      <c r="E283">
        <v>48661.508300000001</v>
      </c>
      <c r="G283">
        <v>1.6999999999999999E-3</v>
      </c>
      <c r="H283">
        <v>1.46</v>
      </c>
      <c r="I283" t="s">
        <v>1708</v>
      </c>
      <c r="J283" t="s">
        <v>1705</v>
      </c>
    </row>
    <row r="284" spans="1:10">
      <c r="A284" t="s">
        <v>1826</v>
      </c>
      <c r="B284" t="s">
        <v>194</v>
      </c>
      <c r="C284">
        <v>4</v>
      </c>
      <c r="E284">
        <v>48824.483399999997</v>
      </c>
      <c r="G284">
        <v>1.6000000000000001E-3</v>
      </c>
      <c r="H284">
        <v>1.46</v>
      </c>
      <c r="I284" t="s">
        <v>1708</v>
      </c>
      <c r="J284" t="s">
        <v>1705</v>
      </c>
    </row>
    <row r="285" spans="1:10">
      <c r="B285" t="s">
        <v>84</v>
      </c>
      <c r="C285">
        <v>3</v>
      </c>
      <c r="E285">
        <v>48514.991999999998</v>
      </c>
      <c r="G285">
        <v>0.03</v>
      </c>
      <c r="I285" t="s">
        <v>1708</v>
      </c>
      <c r="J285" t="s">
        <v>1709</v>
      </c>
    </row>
    <row r="286" spans="1:10">
      <c r="B286" t="s">
        <v>84</v>
      </c>
      <c r="C286">
        <v>4</v>
      </c>
      <c r="E286">
        <v>48562.179199999999</v>
      </c>
      <c r="G286">
        <v>2.3E-3</v>
      </c>
      <c r="I286" t="s">
        <v>1708</v>
      </c>
      <c r="J286" t="s">
        <v>1709</v>
      </c>
    </row>
    <row r="287" spans="1:10">
      <c r="B287" t="s">
        <v>84</v>
      </c>
      <c r="C287">
        <v>5</v>
      </c>
      <c r="E287">
        <v>48786.161</v>
      </c>
      <c r="G287">
        <v>2E-3</v>
      </c>
      <c r="I287" t="s">
        <v>1708</v>
      </c>
      <c r="J287" t="s">
        <v>1709</v>
      </c>
    </row>
    <row r="288" spans="1:10">
      <c r="A288" t="s">
        <v>1787</v>
      </c>
      <c r="B288" t="s">
        <v>283</v>
      </c>
      <c r="C288">
        <v>3</v>
      </c>
      <c r="E288">
        <v>48636.040500000003</v>
      </c>
      <c r="G288">
        <v>1.9E-3</v>
      </c>
      <c r="I288" t="s">
        <v>1883</v>
      </c>
      <c r="J288" t="s">
        <v>1705</v>
      </c>
    </row>
    <row r="289" spans="1:10">
      <c r="A289" t="s">
        <v>1768</v>
      </c>
      <c r="B289" t="s">
        <v>75</v>
      </c>
      <c r="C289">
        <v>1</v>
      </c>
      <c r="E289">
        <v>48839.777999999998</v>
      </c>
      <c r="G289">
        <v>3.0000000000000001E-3</v>
      </c>
      <c r="I289" t="s">
        <v>1884</v>
      </c>
      <c r="J289" t="s">
        <v>1705</v>
      </c>
    </row>
    <row r="290" spans="1:10">
      <c r="A290" t="s">
        <v>1768</v>
      </c>
      <c r="B290" t="s">
        <v>75</v>
      </c>
      <c r="C290">
        <v>2</v>
      </c>
      <c r="E290">
        <v>49027.395299999996</v>
      </c>
      <c r="G290">
        <v>2E-3</v>
      </c>
      <c r="I290" t="s">
        <v>1885</v>
      </c>
      <c r="J290" t="s">
        <v>1705</v>
      </c>
    </row>
    <row r="291" spans="1:10">
      <c r="A291" t="s">
        <v>1768</v>
      </c>
      <c r="B291" t="s">
        <v>75</v>
      </c>
      <c r="C291">
        <v>3</v>
      </c>
      <c r="E291">
        <v>49310.83</v>
      </c>
      <c r="G291">
        <v>2E-3</v>
      </c>
      <c r="I291" t="s">
        <v>1886</v>
      </c>
      <c r="J291" t="s">
        <v>1705</v>
      </c>
    </row>
    <row r="292" spans="1:10">
      <c r="A292" t="s">
        <v>1887</v>
      </c>
      <c r="B292" t="s">
        <v>1888</v>
      </c>
      <c r="C292">
        <v>3</v>
      </c>
      <c r="E292">
        <v>49177.87</v>
      </c>
      <c r="G292">
        <v>0.15</v>
      </c>
      <c r="I292" t="s">
        <v>1708</v>
      </c>
      <c r="J292" t="s">
        <v>1709</v>
      </c>
    </row>
    <row r="293" spans="1:10">
      <c r="A293" t="s">
        <v>1887</v>
      </c>
      <c r="B293" t="s">
        <v>1889</v>
      </c>
      <c r="C293">
        <v>2</v>
      </c>
      <c r="E293">
        <v>49321.572999999997</v>
      </c>
      <c r="G293">
        <v>0.01</v>
      </c>
      <c r="I293" t="s">
        <v>1708</v>
      </c>
      <c r="J293" t="s">
        <v>1709</v>
      </c>
    </row>
    <row r="294" spans="1:10">
      <c r="A294" t="s">
        <v>1787</v>
      </c>
      <c r="B294" t="s">
        <v>97</v>
      </c>
      <c r="C294">
        <v>3</v>
      </c>
      <c r="E294">
        <v>49370.618999999999</v>
      </c>
      <c r="G294">
        <v>1.0999999999999999E-2</v>
      </c>
      <c r="I294" t="s">
        <v>1890</v>
      </c>
      <c r="J294" t="s">
        <v>1705</v>
      </c>
    </row>
    <row r="295" spans="1:10">
      <c r="A295" t="s">
        <v>1787</v>
      </c>
      <c r="B295" t="s">
        <v>97</v>
      </c>
      <c r="C295">
        <v>4</v>
      </c>
      <c r="E295">
        <v>49453.866999999998</v>
      </c>
      <c r="G295">
        <v>2.2000000000000001E-3</v>
      </c>
      <c r="I295" t="s">
        <v>1891</v>
      </c>
      <c r="J295" t="s">
        <v>1705</v>
      </c>
    </row>
    <row r="296" spans="1:10">
      <c r="A296" t="s">
        <v>1787</v>
      </c>
      <c r="B296" t="s">
        <v>97</v>
      </c>
      <c r="C296">
        <v>5</v>
      </c>
      <c r="E296">
        <v>49537.980199999998</v>
      </c>
      <c r="G296">
        <v>2.0999999999999999E-3</v>
      </c>
      <c r="I296" t="s">
        <v>1892</v>
      </c>
      <c r="J296" t="s">
        <v>1705</v>
      </c>
    </row>
    <row r="297" spans="1:10">
      <c r="A297" t="s">
        <v>1827</v>
      </c>
      <c r="B297" t="s">
        <v>1893</v>
      </c>
      <c r="C297">
        <v>2</v>
      </c>
      <c r="E297">
        <v>49466.705000000002</v>
      </c>
      <c r="G297">
        <v>3.0000000000000001E-3</v>
      </c>
      <c r="I297" t="s">
        <v>1894</v>
      </c>
      <c r="J297" t="s">
        <v>1705</v>
      </c>
    </row>
    <row r="298" spans="1:10">
      <c r="A298" t="s">
        <v>1827</v>
      </c>
      <c r="B298" t="s">
        <v>1893</v>
      </c>
      <c r="C298">
        <v>3</v>
      </c>
      <c r="E298">
        <v>49519.714899999999</v>
      </c>
      <c r="G298">
        <v>2E-3</v>
      </c>
      <c r="H298">
        <v>1.04</v>
      </c>
      <c r="I298" t="s">
        <v>1895</v>
      </c>
      <c r="J298" t="s">
        <v>1705</v>
      </c>
    </row>
    <row r="299" spans="1:10">
      <c r="A299" t="s">
        <v>1827</v>
      </c>
      <c r="B299" t="s">
        <v>1893</v>
      </c>
      <c r="C299">
        <v>4</v>
      </c>
      <c r="E299">
        <v>49572.946600000003</v>
      </c>
      <c r="G299">
        <v>1.9E-3</v>
      </c>
      <c r="I299" t="s">
        <v>1896</v>
      </c>
      <c r="J299" t="s">
        <v>1705</v>
      </c>
    </row>
    <row r="300" spans="1:10">
      <c r="A300" t="s">
        <v>1827</v>
      </c>
      <c r="B300" t="s">
        <v>1893</v>
      </c>
      <c r="C300">
        <v>5</v>
      </c>
      <c r="E300">
        <v>49617.548799999997</v>
      </c>
      <c r="G300">
        <v>1.9E-3</v>
      </c>
      <c r="I300" t="s">
        <v>1897</v>
      </c>
      <c r="J300" t="s">
        <v>1705</v>
      </c>
    </row>
    <row r="301" spans="1:10">
      <c r="A301" t="s">
        <v>1827</v>
      </c>
      <c r="B301" t="s">
        <v>1893</v>
      </c>
      <c r="C301">
        <v>6</v>
      </c>
      <c r="E301">
        <v>49635.184000000001</v>
      </c>
      <c r="G301">
        <v>2.2000000000000001E-3</v>
      </c>
      <c r="H301">
        <v>1.35</v>
      </c>
      <c r="I301" t="s">
        <v>1898</v>
      </c>
      <c r="J301" t="s">
        <v>1705</v>
      </c>
    </row>
    <row r="302" spans="1:10">
      <c r="A302" t="s">
        <v>1783</v>
      </c>
      <c r="B302" t="s">
        <v>93</v>
      </c>
      <c r="C302">
        <v>1</v>
      </c>
      <c r="E302">
        <v>49476.984700000001</v>
      </c>
      <c r="G302">
        <v>1.9E-3</v>
      </c>
      <c r="I302" t="s">
        <v>1899</v>
      </c>
      <c r="J302" t="s">
        <v>1705</v>
      </c>
    </row>
    <row r="303" spans="1:10">
      <c r="B303" t="s">
        <v>86</v>
      </c>
      <c r="C303">
        <v>2</v>
      </c>
      <c r="E303">
        <v>49586.47</v>
      </c>
      <c r="G303">
        <v>0.09</v>
      </c>
      <c r="I303" t="s">
        <v>1708</v>
      </c>
      <c r="J303" t="s">
        <v>1709</v>
      </c>
    </row>
    <row r="304" spans="1:10">
      <c r="B304" t="s">
        <v>86</v>
      </c>
      <c r="C304">
        <v>3</v>
      </c>
      <c r="E304">
        <v>49717.807999999997</v>
      </c>
      <c r="G304">
        <v>1.2E-2</v>
      </c>
      <c r="I304" t="s">
        <v>1708</v>
      </c>
      <c r="J304" t="s">
        <v>1709</v>
      </c>
    </row>
    <row r="305" spans="1:10">
      <c r="B305" t="s">
        <v>86</v>
      </c>
      <c r="C305">
        <v>4</v>
      </c>
      <c r="E305">
        <v>49863.457999999999</v>
      </c>
      <c r="G305">
        <v>4.0000000000000001E-3</v>
      </c>
      <c r="I305" t="s">
        <v>1708</v>
      </c>
      <c r="J305" t="s">
        <v>1709</v>
      </c>
    </row>
    <row r="306" spans="1:10">
      <c r="A306" t="s">
        <v>1900</v>
      </c>
      <c r="B306" t="s">
        <v>1901</v>
      </c>
      <c r="C306">
        <v>1</v>
      </c>
      <c r="E306">
        <v>49588.830999999998</v>
      </c>
      <c r="G306">
        <v>3.0000000000000001E-3</v>
      </c>
      <c r="H306">
        <v>2.48</v>
      </c>
      <c r="I306" t="s">
        <v>1902</v>
      </c>
      <c r="J306" t="s">
        <v>1705</v>
      </c>
    </row>
    <row r="307" spans="1:10">
      <c r="A307" t="s">
        <v>1900</v>
      </c>
      <c r="B307" t="s">
        <v>1901</v>
      </c>
      <c r="C307">
        <v>3</v>
      </c>
      <c r="E307">
        <v>49812.43</v>
      </c>
      <c r="G307">
        <v>4.0000000000000001E-3</v>
      </c>
      <c r="H307">
        <v>1.77</v>
      </c>
      <c r="I307" t="s">
        <v>1903</v>
      </c>
      <c r="J307" t="s">
        <v>1705</v>
      </c>
    </row>
    <row r="308" spans="1:10">
      <c r="A308" t="s">
        <v>1787</v>
      </c>
      <c r="B308" t="s">
        <v>298</v>
      </c>
      <c r="C308">
        <v>2</v>
      </c>
      <c r="E308">
        <v>49597.855000000003</v>
      </c>
      <c r="G308">
        <v>3.0000000000000001E-3</v>
      </c>
      <c r="H308">
        <v>1.88</v>
      </c>
      <c r="I308" t="s">
        <v>1904</v>
      </c>
      <c r="J308" t="s">
        <v>1705</v>
      </c>
    </row>
    <row r="309" spans="1:10">
      <c r="A309" t="s">
        <v>1900</v>
      </c>
      <c r="B309" t="s">
        <v>78</v>
      </c>
      <c r="C309">
        <v>4</v>
      </c>
      <c r="E309">
        <v>49620.563999999998</v>
      </c>
      <c r="G309">
        <v>1.8E-3</v>
      </c>
      <c r="I309" t="s">
        <v>1905</v>
      </c>
      <c r="J309" t="s">
        <v>1705</v>
      </c>
    </row>
    <row r="310" spans="1:10">
      <c r="A310" t="s">
        <v>1900</v>
      </c>
      <c r="B310" t="s">
        <v>78</v>
      </c>
      <c r="C310">
        <v>3</v>
      </c>
      <c r="E310">
        <v>49650.131999999998</v>
      </c>
      <c r="G310">
        <v>1.6999999999999999E-3</v>
      </c>
      <c r="I310" t="s">
        <v>1906</v>
      </c>
      <c r="J310" t="s">
        <v>1705</v>
      </c>
    </row>
    <row r="311" spans="1:10">
      <c r="A311" t="s">
        <v>1900</v>
      </c>
      <c r="B311" t="s">
        <v>78</v>
      </c>
      <c r="C311">
        <v>2</v>
      </c>
      <c r="E311">
        <v>49652.722399999999</v>
      </c>
      <c r="G311">
        <v>1.9E-3</v>
      </c>
      <c r="I311" t="s">
        <v>1907</v>
      </c>
      <c r="J311" t="s">
        <v>1705</v>
      </c>
    </row>
    <row r="312" spans="1:10">
      <c r="A312" t="s">
        <v>1768</v>
      </c>
      <c r="B312" t="s">
        <v>108</v>
      </c>
      <c r="C312">
        <v>2</v>
      </c>
      <c r="E312">
        <v>49822.540300000001</v>
      </c>
      <c r="G312">
        <v>2E-3</v>
      </c>
      <c r="H312">
        <v>2</v>
      </c>
      <c r="I312" t="s">
        <v>1908</v>
      </c>
      <c r="J312" t="s">
        <v>1705</v>
      </c>
    </row>
    <row r="313" spans="1:10">
      <c r="A313" t="s">
        <v>1900</v>
      </c>
      <c r="B313" t="s">
        <v>1909</v>
      </c>
      <c r="C313">
        <v>1</v>
      </c>
      <c r="E313">
        <v>50018.830999999998</v>
      </c>
      <c r="G313">
        <v>4.0000000000000001E-3</v>
      </c>
      <c r="I313" t="s">
        <v>1910</v>
      </c>
      <c r="J313" t="s">
        <v>1705</v>
      </c>
    </row>
    <row r="314" spans="1:10">
      <c r="A314" t="s">
        <v>1900</v>
      </c>
      <c r="B314" t="s">
        <v>1909</v>
      </c>
      <c r="C314">
        <v>2</v>
      </c>
      <c r="E314">
        <v>50057.53</v>
      </c>
      <c r="G314">
        <v>0.06</v>
      </c>
      <c r="I314" t="s">
        <v>1911</v>
      </c>
      <c r="J314" t="s">
        <v>1705</v>
      </c>
    </row>
    <row r="315" spans="1:10">
      <c r="A315" t="s">
        <v>1900</v>
      </c>
      <c r="B315" t="s">
        <v>1909</v>
      </c>
      <c r="C315">
        <v>3</v>
      </c>
      <c r="E315">
        <v>50102.07</v>
      </c>
      <c r="G315">
        <v>0.12</v>
      </c>
      <c r="H315">
        <v>1.27</v>
      </c>
      <c r="I315" t="s">
        <v>1910</v>
      </c>
      <c r="J315" t="s">
        <v>1705</v>
      </c>
    </row>
    <row r="316" spans="1:10">
      <c r="A316" t="s">
        <v>1900</v>
      </c>
      <c r="B316" t="s">
        <v>1909</v>
      </c>
      <c r="C316">
        <v>4</v>
      </c>
      <c r="E316">
        <v>50210.7</v>
      </c>
      <c r="G316">
        <v>0.14000000000000001</v>
      </c>
      <c r="H316">
        <v>1.25</v>
      </c>
      <c r="I316" t="s">
        <v>1912</v>
      </c>
      <c r="J316" t="s">
        <v>1705</v>
      </c>
    </row>
    <row r="317" spans="1:10">
      <c r="A317" t="s">
        <v>1900</v>
      </c>
      <c r="B317" t="s">
        <v>1909</v>
      </c>
      <c r="C317">
        <v>5</v>
      </c>
      <c r="E317">
        <v>50253.294999999998</v>
      </c>
      <c r="G317">
        <v>3.0000000000000001E-3</v>
      </c>
      <c r="H317">
        <v>1.39</v>
      </c>
      <c r="I317" t="s">
        <v>1913</v>
      </c>
      <c r="J317" t="s">
        <v>1705</v>
      </c>
    </row>
    <row r="318" spans="1:10">
      <c r="A318" t="s">
        <v>1900</v>
      </c>
      <c r="B318" t="s">
        <v>81</v>
      </c>
      <c r="C318">
        <v>1</v>
      </c>
      <c r="E318">
        <v>50105.490400000002</v>
      </c>
      <c r="G318">
        <v>1.9E-3</v>
      </c>
      <c r="I318" t="s">
        <v>1914</v>
      </c>
      <c r="J318" t="s">
        <v>1705</v>
      </c>
    </row>
    <row r="319" spans="1:10">
      <c r="A319" t="s">
        <v>1900</v>
      </c>
      <c r="B319" t="s">
        <v>81</v>
      </c>
      <c r="C319">
        <v>2</v>
      </c>
      <c r="E319">
        <v>50184.190999999999</v>
      </c>
      <c r="G319">
        <v>4.0000000000000001E-3</v>
      </c>
      <c r="I319" t="s">
        <v>1915</v>
      </c>
      <c r="J319" t="s">
        <v>1705</v>
      </c>
    </row>
    <row r="320" spans="1:10">
      <c r="A320" t="s">
        <v>1900</v>
      </c>
      <c r="B320" t="s">
        <v>81</v>
      </c>
      <c r="C320">
        <v>3</v>
      </c>
      <c r="E320">
        <v>50264.458899999998</v>
      </c>
      <c r="G320">
        <v>2E-3</v>
      </c>
      <c r="I320" t="s">
        <v>1916</v>
      </c>
      <c r="J320" t="s">
        <v>1705</v>
      </c>
    </row>
    <row r="321" spans="1:10">
      <c r="A321" t="s">
        <v>1917</v>
      </c>
      <c r="B321" t="s">
        <v>1918</v>
      </c>
      <c r="C321">
        <v>3</v>
      </c>
      <c r="E321">
        <v>50184.4</v>
      </c>
      <c r="G321">
        <v>1.8</v>
      </c>
      <c r="I321" t="s">
        <v>1708</v>
      </c>
      <c r="J321" t="s">
        <v>1709</v>
      </c>
    </row>
    <row r="322" spans="1:10">
      <c r="A322" t="s">
        <v>1917</v>
      </c>
      <c r="B322" t="s">
        <v>1918</v>
      </c>
      <c r="C322">
        <v>4</v>
      </c>
      <c r="E322">
        <v>50196.84</v>
      </c>
      <c r="G322">
        <v>0.2</v>
      </c>
      <c r="I322" t="s">
        <v>1708</v>
      </c>
      <c r="J322" t="s">
        <v>1919</v>
      </c>
    </row>
    <row r="323" spans="1:10">
      <c r="A323" t="s">
        <v>1900</v>
      </c>
      <c r="B323" t="s">
        <v>1920</v>
      </c>
      <c r="C323">
        <v>4</v>
      </c>
      <c r="E323">
        <v>50557.490700000002</v>
      </c>
      <c r="G323">
        <v>1.6999999999999999E-3</v>
      </c>
      <c r="H323">
        <v>1.54</v>
      </c>
      <c r="I323" t="s">
        <v>1921</v>
      </c>
      <c r="J323" t="s">
        <v>1705</v>
      </c>
    </row>
    <row r="324" spans="1:10">
      <c r="A324" t="s">
        <v>1900</v>
      </c>
      <c r="B324" t="s">
        <v>1920</v>
      </c>
      <c r="C324">
        <v>3</v>
      </c>
      <c r="E324">
        <v>50628.047400000003</v>
      </c>
      <c r="G324">
        <v>1.6999999999999999E-3</v>
      </c>
      <c r="H324">
        <v>1.54</v>
      </c>
      <c r="I324" t="s">
        <v>1922</v>
      </c>
      <c r="J324" t="s">
        <v>1705</v>
      </c>
    </row>
    <row r="325" spans="1:10">
      <c r="A325" t="s">
        <v>1900</v>
      </c>
      <c r="B325" t="s">
        <v>1920</v>
      </c>
      <c r="C325">
        <v>2</v>
      </c>
      <c r="E325">
        <v>50654.712099999997</v>
      </c>
      <c r="G325">
        <v>1.9E-3</v>
      </c>
      <c r="H325">
        <v>1.51</v>
      </c>
      <c r="I325" t="s">
        <v>1923</v>
      </c>
      <c r="J325" t="s">
        <v>1705</v>
      </c>
    </row>
    <row r="326" spans="1:10">
      <c r="A326" t="s">
        <v>1900</v>
      </c>
      <c r="B326" t="s">
        <v>1920</v>
      </c>
      <c r="C326">
        <v>0</v>
      </c>
      <c r="E326">
        <v>50661.15</v>
      </c>
      <c r="G326">
        <v>0.01</v>
      </c>
      <c r="I326" t="s">
        <v>1924</v>
      </c>
      <c r="J326" t="s">
        <v>1705</v>
      </c>
    </row>
    <row r="327" spans="1:10">
      <c r="A327" t="s">
        <v>1900</v>
      </c>
      <c r="B327" t="s">
        <v>1920</v>
      </c>
      <c r="C327">
        <v>1</v>
      </c>
      <c r="E327">
        <v>50662.728999999999</v>
      </c>
      <c r="G327">
        <v>2E-3</v>
      </c>
      <c r="H327">
        <v>1.46</v>
      </c>
      <c r="I327" t="s">
        <v>1925</v>
      </c>
      <c r="J327" t="s">
        <v>1705</v>
      </c>
    </row>
    <row r="328" spans="1:10">
      <c r="A328" t="s">
        <v>1827</v>
      </c>
      <c r="B328" t="s">
        <v>116</v>
      </c>
      <c r="C328">
        <v>2</v>
      </c>
      <c r="E328">
        <v>50890.076999999997</v>
      </c>
      <c r="G328">
        <v>3.0000000000000001E-3</v>
      </c>
      <c r="I328" t="s">
        <v>1926</v>
      </c>
      <c r="J328" t="s">
        <v>1705</v>
      </c>
    </row>
    <row r="329" spans="1:10">
      <c r="A329" t="s">
        <v>1827</v>
      </c>
      <c r="B329" t="s">
        <v>116</v>
      </c>
      <c r="C329">
        <v>3</v>
      </c>
      <c r="E329">
        <v>50950.332600000002</v>
      </c>
      <c r="G329">
        <v>2E-3</v>
      </c>
      <c r="I329" t="s">
        <v>1927</v>
      </c>
      <c r="J329" t="s">
        <v>1705</v>
      </c>
    </row>
    <row r="330" spans="1:10">
      <c r="A330" t="s">
        <v>1827</v>
      </c>
      <c r="B330" t="s">
        <v>116</v>
      </c>
      <c r="C330">
        <v>4</v>
      </c>
      <c r="E330">
        <v>51059.7045</v>
      </c>
      <c r="G330">
        <v>1.8E-3</v>
      </c>
      <c r="I330" t="s">
        <v>1928</v>
      </c>
      <c r="J330" t="s">
        <v>1705</v>
      </c>
    </row>
    <row r="331" spans="1:10">
      <c r="A331" t="s">
        <v>1929</v>
      </c>
      <c r="B331" t="s">
        <v>1930</v>
      </c>
      <c r="C331">
        <v>2</v>
      </c>
      <c r="E331">
        <v>51035.63</v>
      </c>
      <c r="G331">
        <v>8.0000000000000002E-3</v>
      </c>
      <c r="I331" t="s">
        <v>1708</v>
      </c>
      <c r="J331" t="s">
        <v>1709</v>
      </c>
    </row>
    <row r="332" spans="1:10">
      <c r="A332" t="s">
        <v>1900</v>
      </c>
      <c r="B332" t="s">
        <v>901</v>
      </c>
      <c r="C332">
        <v>0</v>
      </c>
      <c r="E332">
        <v>51176.84</v>
      </c>
      <c r="G332">
        <v>4.0000000000000001E-3</v>
      </c>
      <c r="I332" t="s">
        <v>1931</v>
      </c>
      <c r="J332" t="s">
        <v>1705</v>
      </c>
    </row>
    <row r="333" spans="1:10">
      <c r="A333" t="s">
        <v>1900</v>
      </c>
      <c r="B333" t="s">
        <v>901</v>
      </c>
      <c r="C333">
        <v>1</v>
      </c>
      <c r="E333">
        <v>51246.841999999997</v>
      </c>
      <c r="G333">
        <v>2.2000000000000001E-3</v>
      </c>
      <c r="I333" t="s">
        <v>1932</v>
      </c>
      <c r="J333" t="s">
        <v>1705</v>
      </c>
    </row>
    <row r="334" spans="1:10">
      <c r="A334" t="s">
        <v>1900</v>
      </c>
      <c r="B334" t="s">
        <v>901</v>
      </c>
      <c r="C334">
        <v>2</v>
      </c>
      <c r="E334">
        <v>51286.535600000003</v>
      </c>
      <c r="G334">
        <v>2.0999999999999999E-3</v>
      </c>
      <c r="I334" t="s">
        <v>1933</v>
      </c>
      <c r="J334" t="s">
        <v>1705</v>
      </c>
    </row>
    <row r="335" spans="1:10">
      <c r="A335" t="s">
        <v>1761</v>
      </c>
      <c r="B335" t="s">
        <v>74</v>
      </c>
      <c r="C335">
        <v>5</v>
      </c>
      <c r="E335">
        <v>51401.25</v>
      </c>
      <c r="G335">
        <v>0.05</v>
      </c>
      <c r="I335" t="s">
        <v>1934</v>
      </c>
      <c r="J335" t="s">
        <v>1705</v>
      </c>
    </row>
    <row r="336" spans="1:10">
      <c r="A336" t="s">
        <v>1935</v>
      </c>
      <c r="B336" t="s">
        <v>1918</v>
      </c>
      <c r="C336">
        <v>2</v>
      </c>
      <c r="E336">
        <v>51529.45</v>
      </c>
      <c r="G336">
        <v>0.11</v>
      </c>
      <c r="I336" t="s">
        <v>1708</v>
      </c>
      <c r="J336" t="s">
        <v>1709</v>
      </c>
    </row>
    <row r="337" spans="1:10">
      <c r="A337" t="s">
        <v>1935</v>
      </c>
      <c r="B337" t="s">
        <v>1918</v>
      </c>
      <c r="C337">
        <v>3</v>
      </c>
      <c r="E337">
        <v>51531.555</v>
      </c>
      <c r="G337">
        <v>0.03</v>
      </c>
      <c r="I337" t="s">
        <v>1708</v>
      </c>
      <c r="J337" t="s">
        <v>1709</v>
      </c>
    </row>
    <row r="338" spans="1:10">
      <c r="A338" t="s">
        <v>1935</v>
      </c>
      <c r="B338" t="s">
        <v>1918</v>
      </c>
      <c r="C338">
        <v>4</v>
      </c>
      <c r="E338">
        <v>51534.35</v>
      </c>
      <c r="G338">
        <v>0.1</v>
      </c>
      <c r="I338" t="s">
        <v>1708</v>
      </c>
      <c r="J338" t="s">
        <v>1919</v>
      </c>
    </row>
    <row r="339" spans="1:10">
      <c r="A339" t="s">
        <v>1936</v>
      </c>
      <c r="B339" t="s">
        <v>1937</v>
      </c>
      <c r="C339">
        <v>0</v>
      </c>
      <c r="E339">
        <v>51999.61</v>
      </c>
      <c r="G339">
        <v>0.1</v>
      </c>
      <c r="I339">
        <v>94</v>
      </c>
      <c r="J339" t="s">
        <v>1705</v>
      </c>
    </row>
    <row r="340" spans="1:10">
      <c r="A340" t="s">
        <v>1936</v>
      </c>
      <c r="B340" t="s">
        <v>1937</v>
      </c>
      <c r="C340">
        <v>1</v>
      </c>
      <c r="E340">
        <v>52003.06</v>
      </c>
      <c r="G340">
        <v>0.08</v>
      </c>
      <c r="I340">
        <v>94</v>
      </c>
      <c r="J340" t="s">
        <v>1705</v>
      </c>
    </row>
    <row r="341" spans="1:10">
      <c r="A341" t="s">
        <v>1936</v>
      </c>
      <c r="B341" t="s">
        <v>1937</v>
      </c>
      <c r="C341">
        <v>2</v>
      </c>
      <c r="E341">
        <v>52012.37</v>
      </c>
      <c r="G341">
        <v>0.08</v>
      </c>
      <c r="I341">
        <v>93</v>
      </c>
      <c r="J341" t="s">
        <v>1705</v>
      </c>
    </row>
    <row r="342" spans="1:10">
      <c r="A342" t="s">
        <v>1936</v>
      </c>
      <c r="B342" t="s">
        <v>1937</v>
      </c>
      <c r="C342">
        <v>3</v>
      </c>
      <c r="E342">
        <v>52031.72</v>
      </c>
      <c r="G342">
        <v>7.0000000000000007E-2</v>
      </c>
      <c r="I342">
        <v>92</v>
      </c>
      <c r="J342" t="s">
        <v>1705</v>
      </c>
    </row>
    <row r="343" spans="1:10">
      <c r="A343" t="s">
        <v>1936</v>
      </c>
      <c r="B343" t="s">
        <v>1937</v>
      </c>
      <c r="C343">
        <v>4</v>
      </c>
      <c r="E343">
        <v>52064.26</v>
      </c>
      <c r="G343">
        <v>7.0000000000000007E-2</v>
      </c>
      <c r="I343">
        <v>92</v>
      </c>
      <c r="J343" t="s">
        <v>1705</v>
      </c>
    </row>
    <row r="344" spans="1:10">
      <c r="A344" t="s">
        <v>1938</v>
      </c>
      <c r="B344" t="s">
        <v>1918</v>
      </c>
      <c r="C344">
        <v>2</v>
      </c>
      <c r="E344">
        <v>52341</v>
      </c>
      <c r="G344">
        <v>5</v>
      </c>
      <c r="I344" t="s">
        <v>1708</v>
      </c>
      <c r="J344" t="s">
        <v>1939</v>
      </c>
    </row>
    <row r="345" spans="1:10">
      <c r="A345" t="s">
        <v>1938</v>
      </c>
      <c r="B345" t="s">
        <v>1918</v>
      </c>
      <c r="C345">
        <v>3</v>
      </c>
      <c r="E345">
        <v>52341</v>
      </c>
      <c r="G345">
        <v>5</v>
      </c>
      <c r="I345" t="s">
        <v>1708</v>
      </c>
      <c r="J345" t="s">
        <v>1939</v>
      </c>
    </row>
    <row r="346" spans="1:10">
      <c r="A346" t="s">
        <v>1938</v>
      </c>
      <c r="B346" t="s">
        <v>1918</v>
      </c>
      <c r="C346">
        <v>4</v>
      </c>
      <c r="E346">
        <v>52341</v>
      </c>
      <c r="G346">
        <v>5</v>
      </c>
      <c r="I346" t="s">
        <v>1708</v>
      </c>
      <c r="J346" t="s">
        <v>1939</v>
      </c>
    </row>
    <row r="347" spans="1:10">
      <c r="A347" t="s">
        <v>1940</v>
      </c>
      <c r="B347" t="s">
        <v>1941</v>
      </c>
      <c r="C347">
        <v>5</v>
      </c>
      <c r="E347">
        <v>52591.7094</v>
      </c>
      <c r="G347">
        <v>2E-3</v>
      </c>
      <c r="I347" t="s">
        <v>1942</v>
      </c>
      <c r="J347" t="s">
        <v>1705</v>
      </c>
    </row>
    <row r="348" spans="1:10">
      <c r="A348" t="s">
        <v>1940</v>
      </c>
      <c r="B348" t="s">
        <v>1941</v>
      </c>
      <c r="C348">
        <v>6</v>
      </c>
      <c r="E348">
        <v>52660.474999999999</v>
      </c>
      <c r="G348">
        <v>2E-3</v>
      </c>
      <c r="I348" t="s">
        <v>1943</v>
      </c>
      <c r="J348" t="s">
        <v>1705</v>
      </c>
    </row>
    <row r="349" spans="1:10">
      <c r="A349" t="s">
        <v>1940</v>
      </c>
      <c r="B349" t="s">
        <v>1941</v>
      </c>
      <c r="C349">
        <v>7</v>
      </c>
      <c r="E349">
        <v>52677.752</v>
      </c>
      <c r="G349">
        <v>3.0000000000000001E-3</v>
      </c>
      <c r="I349" t="s">
        <v>1944</v>
      </c>
      <c r="J349" t="s">
        <v>1705</v>
      </c>
    </row>
    <row r="350" spans="1:10">
      <c r="A350" t="s">
        <v>1827</v>
      </c>
      <c r="B350" t="s">
        <v>293</v>
      </c>
      <c r="C350">
        <v>4</v>
      </c>
      <c r="E350">
        <v>52719.978000000003</v>
      </c>
      <c r="G350">
        <v>2E-3</v>
      </c>
      <c r="I350" t="s">
        <v>1945</v>
      </c>
      <c r="J350" t="s">
        <v>1705</v>
      </c>
    </row>
    <row r="351" spans="1:10">
      <c r="A351" t="s">
        <v>1946</v>
      </c>
      <c r="B351" t="s">
        <v>1918</v>
      </c>
      <c r="C351">
        <v>2</v>
      </c>
      <c r="E351">
        <v>52857.34</v>
      </c>
      <c r="G351">
        <v>0.3</v>
      </c>
      <c r="I351" t="s">
        <v>1708</v>
      </c>
      <c r="J351" t="s">
        <v>1709</v>
      </c>
    </row>
    <row r="352" spans="1:10">
      <c r="A352" t="s">
        <v>1946</v>
      </c>
      <c r="B352" t="s">
        <v>1918</v>
      </c>
      <c r="C352">
        <v>4</v>
      </c>
      <c r="E352">
        <v>52857.34</v>
      </c>
      <c r="G352">
        <v>0.3</v>
      </c>
      <c r="I352" t="s">
        <v>1708</v>
      </c>
      <c r="J352" t="s">
        <v>1709</v>
      </c>
    </row>
    <row r="353" spans="1:10">
      <c r="A353" t="s">
        <v>1946</v>
      </c>
      <c r="B353" t="s">
        <v>1918</v>
      </c>
      <c r="C353">
        <v>3</v>
      </c>
      <c r="E353">
        <v>52857.34</v>
      </c>
      <c r="G353">
        <v>0.3</v>
      </c>
      <c r="I353" t="s">
        <v>1708</v>
      </c>
      <c r="J353" t="s">
        <v>1709</v>
      </c>
    </row>
    <row r="354" spans="1:10">
      <c r="A354" t="s">
        <v>1947</v>
      </c>
      <c r="B354" t="s">
        <v>931</v>
      </c>
      <c r="C354">
        <v>5</v>
      </c>
      <c r="E354">
        <v>52885.184999999998</v>
      </c>
      <c r="G354">
        <v>2.2000000000000001E-3</v>
      </c>
      <c r="I354" t="s">
        <v>1948</v>
      </c>
      <c r="J354" t="s">
        <v>1705</v>
      </c>
    </row>
    <row r="355" spans="1:10">
      <c r="A355" t="s">
        <v>1947</v>
      </c>
      <c r="B355" t="s">
        <v>931</v>
      </c>
      <c r="C355">
        <v>6</v>
      </c>
      <c r="E355">
        <v>52914.935100000002</v>
      </c>
      <c r="G355">
        <v>2E-3</v>
      </c>
      <c r="I355" t="s">
        <v>1949</v>
      </c>
      <c r="J355" t="s">
        <v>1705</v>
      </c>
    </row>
    <row r="356" spans="1:10">
      <c r="A356" t="s">
        <v>1947</v>
      </c>
      <c r="B356" t="s">
        <v>931</v>
      </c>
      <c r="C356">
        <v>4</v>
      </c>
      <c r="E356">
        <v>52963.370999999999</v>
      </c>
      <c r="G356">
        <v>2E-3</v>
      </c>
      <c r="I356" t="s">
        <v>1950</v>
      </c>
      <c r="J356" t="s">
        <v>1705</v>
      </c>
    </row>
    <row r="357" spans="1:10">
      <c r="A357" t="s">
        <v>1936</v>
      </c>
      <c r="B357" t="s">
        <v>1951</v>
      </c>
      <c r="C357">
        <v>1</v>
      </c>
      <c r="E357">
        <v>53011.703000000001</v>
      </c>
      <c r="G357">
        <v>8.9999999999999993E-3</v>
      </c>
      <c r="I357" t="s">
        <v>1952</v>
      </c>
      <c r="J357" t="s">
        <v>1705</v>
      </c>
    </row>
    <row r="358" spans="1:10">
      <c r="A358" t="s">
        <v>1936</v>
      </c>
      <c r="B358" t="s">
        <v>1951</v>
      </c>
      <c r="C358">
        <v>2</v>
      </c>
      <c r="E358">
        <v>53037.457999999999</v>
      </c>
      <c r="G358">
        <v>1.0999999999999999E-2</v>
      </c>
      <c r="I358" t="s">
        <v>1953</v>
      </c>
      <c r="J358" t="s">
        <v>1705</v>
      </c>
    </row>
    <row r="359" spans="1:10">
      <c r="A359" t="s">
        <v>1936</v>
      </c>
      <c r="B359" t="s">
        <v>1951</v>
      </c>
      <c r="C359">
        <v>3</v>
      </c>
      <c r="E359">
        <v>53073.758999999998</v>
      </c>
      <c r="G359">
        <v>8.9999999999999993E-3</v>
      </c>
      <c r="I359" t="s">
        <v>1954</v>
      </c>
      <c r="J359" t="s">
        <v>1705</v>
      </c>
    </row>
    <row r="360" spans="1:10">
      <c r="A360" t="s">
        <v>1936</v>
      </c>
      <c r="B360" t="s">
        <v>1951</v>
      </c>
      <c r="C360">
        <v>4</v>
      </c>
      <c r="E360">
        <v>53117.519</v>
      </c>
      <c r="G360">
        <v>8.0000000000000002E-3</v>
      </c>
      <c r="I360" t="s">
        <v>1955</v>
      </c>
      <c r="J360" t="s">
        <v>1705</v>
      </c>
    </row>
    <row r="361" spans="1:10">
      <c r="A361" t="s">
        <v>1936</v>
      </c>
      <c r="B361" t="s">
        <v>1951</v>
      </c>
      <c r="C361">
        <v>5</v>
      </c>
      <c r="E361">
        <v>53172.212</v>
      </c>
      <c r="G361">
        <v>7.0000000000000001E-3</v>
      </c>
      <c r="H361">
        <v>1.42</v>
      </c>
      <c r="I361" t="s">
        <v>1956</v>
      </c>
      <c r="J361" t="s">
        <v>1705</v>
      </c>
    </row>
    <row r="362" spans="1:10">
      <c r="A362" t="s">
        <v>1957</v>
      </c>
      <c r="B362" t="s">
        <v>1958</v>
      </c>
      <c r="C362">
        <v>1</v>
      </c>
      <c r="E362">
        <v>53148.32</v>
      </c>
      <c r="G362">
        <v>7.0000000000000007E-2</v>
      </c>
      <c r="I362" t="s">
        <v>1708</v>
      </c>
      <c r="J362" t="s">
        <v>1709</v>
      </c>
    </row>
    <row r="363" spans="1:10">
      <c r="A363" t="s">
        <v>1957</v>
      </c>
      <c r="B363" t="s">
        <v>1958</v>
      </c>
      <c r="C363">
        <v>2</v>
      </c>
      <c r="E363">
        <v>53177.7</v>
      </c>
      <c r="G363">
        <v>0.14000000000000001</v>
      </c>
      <c r="I363" t="s">
        <v>1708</v>
      </c>
      <c r="J363" t="s">
        <v>1709</v>
      </c>
    </row>
    <row r="364" spans="1:10">
      <c r="A364" t="s">
        <v>1957</v>
      </c>
      <c r="B364" t="s">
        <v>1958</v>
      </c>
      <c r="C364">
        <v>3</v>
      </c>
      <c r="E364">
        <v>53228.462</v>
      </c>
      <c r="G364">
        <v>1.2E-2</v>
      </c>
      <c r="I364" t="s">
        <v>1708</v>
      </c>
      <c r="J364" t="s">
        <v>1709</v>
      </c>
    </row>
    <row r="365" spans="1:10">
      <c r="A365" t="s">
        <v>1957</v>
      </c>
      <c r="B365" t="s">
        <v>1958</v>
      </c>
      <c r="C365">
        <v>4</v>
      </c>
      <c r="E365">
        <v>53298.750999999997</v>
      </c>
      <c r="G365">
        <v>6.0000000000000001E-3</v>
      </c>
      <c r="I365" t="s">
        <v>1708</v>
      </c>
      <c r="J365" t="s">
        <v>1709</v>
      </c>
    </row>
    <row r="366" spans="1:10">
      <c r="A366" t="s">
        <v>1957</v>
      </c>
      <c r="B366" t="s">
        <v>1958</v>
      </c>
      <c r="C366">
        <v>5</v>
      </c>
      <c r="E366">
        <v>53393.408000000003</v>
      </c>
      <c r="G366">
        <v>3.0000000000000001E-3</v>
      </c>
      <c r="I366" t="s">
        <v>1708</v>
      </c>
      <c r="J366" t="s">
        <v>1709</v>
      </c>
    </row>
    <row r="367" spans="1:10">
      <c r="A367" t="s">
        <v>1957</v>
      </c>
      <c r="B367" t="s">
        <v>1958</v>
      </c>
      <c r="C367">
        <v>6</v>
      </c>
      <c r="E367">
        <v>53517.822</v>
      </c>
      <c r="G367">
        <v>0.01</v>
      </c>
      <c r="I367" t="s">
        <v>1708</v>
      </c>
      <c r="J367" t="s">
        <v>1709</v>
      </c>
    </row>
    <row r="368" spans="1:10">
      <c r="A368" t="s">
        <v>1957</v>
      </c>
      <c r="B368" t="s">
        <v>1958</v>
      </c>
      <c r="C368">
        <v>7</v>
      </c>
      <c r="E368">
        <v>53662.62</v>
      </c>
      <c r="G368">
        <v>0.16</v>
      </c>
      <c r="I368" t="s">
        <v>1708</v>
      </c>
      <c r="J368" t="s">
        <v>1709</v>
      </c>
    </row>
    <row r="369" spans="1:10">
      <c r="A369" t="s">
        <v>1957</v>
      </c>
      <c r="B369" t="s">
        <v>1959</v>
      </c>
      <c r="C369">
        <v>2</v>
      </c>
      <c r="E369">
        <v>53195.061000000002</v>
      </c>
      <c r="G369">
        <v>7.0000000000000001E-3</v>
      </c>
      <c r="I369" t="s">
        <v>1708</v>
      </c>
      <c r="J369" t="s">
        <v>1709</v>
      </c>
    </row>
    <row r="370" spans="1:10">
      <c r="A370" t="s">
        <v>1957</v>
      </c>
      <c r="B370" t="s">
        <v>1959</v>
      </c>
      <c r="C370">
        <v>3</v>
      </c>
      <c r="E370">
        <v>53284.330999999998</v>
      </c>
      <c r="G370">
        <v>8.9999999999999993E-3</v>
      </c>
      <c r="I370" t="s">
        <v>1708</v>
      </c>
      <c r="J370" t="s">
        <v>1709</v>
      </c>
    </row>
    <row r="371" spans="1:10">
      <c r="A371" t="s">
        <v>1957</v>
      </c>
      <c r="B371" t="s">
        <v>1959</v>
      </c>
      <c r="C371">
        <v>4</v>
      </c>
      <c r="E371">
        <v>53375.373</v>
      </c>
      <c r="G371">
        <v>1.2999999999999999E-2</v>
      </c>
      <c r="I371" t="s">
        <v>1708</v>
      </c>
      <c r="J371" t="s">
        <v>1709</v>
      </c>
    </row>
    <row r="372" spans="1:10">
      <c r="A372" t="s">
        <v>1957</v>
      </c>
      <c r="B372" t="s">
        <v>1959</v>
      </c>
      <c r="C372">
        <v>5</v>
      </c>
      <c r="E372">
        <v>53627.8</v>
      </c>
      <c r="G372">
        <v>0.09</v>
      </c>
      <c r="I372" t="s">
        <v>1708</v>
      </c>
      <c r="J372" t="s">
        <v>1709</v>
      </c>
    </row>
    <row r="373" spans="1:10">
      <c r="A373" t="s">
        <v>1957</v>
      </c>
      <c r="B373" t="s">
        <v>1960</v>
      </c>
      <c r="C373">
        <v>1</v>
      </c>
      <c r="E373">
        <v>53215.356</v>
      </c>
      <c r="G373">
        <v>6.0000000000000001E-3</v>
      </c>
      <c r="I373" t="s">
        <v>1708</v>
      </c>
      <c r="J373" t="s">
        <v>1709</v>
      </c>
    </row>
    <row r="374" spans="1:10">
      <c r="A374" t="s">
        <v>1957</v>
      </c>
      <c r="B374" t="s">
        <v>1960</v>
      </c>
      <c r="C374">
        <v>2</v>
      </c>
      <c r="E374">
        <v>53279.783000000003</v>
      </c>
      <c r="G374">
        <v>1.2E-2</v>
      </c>
      <c r="I374" t="s">
        <v>1708</v>
      </c>
      <c r="J374" t="s">
        <v>1709</v>
      </c>
    </row>
    <row r="375" spans="1:10">
      <c r="A375" t="s">
        <v>1957</v>
      </c>
      <c r="B375" t="s">
        <v>1960</v>
      </c>
      <c r="C375">
        <v>3</v>
      </c>
      <c r="E375">
        <v>53384.7</v>
      </c>
      <c r="G375">
        <v>2.2000000000000001E-3</v>
      </c>
      <c r="I375" t="s">
        <v>1708</v>
      </c>
      <c r="J375" t="s">
        <v>1709</v>
      </c>
    </row>
    <row r="376" spans="1:10">
      <c r="A376" t="s">
        <v>1957</v>
      </c>
      <c r="B376" t="s">
        <v>1960</v>
      </c>
      <c r="C376">
        <v>4</v>
      </c>
      <c r="E376">
        <v>53526.194000000003</v>
      </c>
      <c r="G376">
        <v>1.0999999999999999E-2</v>
      </c>
      <c r="I376" t="s">
        <v>1708</v>
      </c>
      <c r="J376" t="s">
        <v>1709</v>
      </c>
    </row>
    <row r="377" spans="1:10">
      <c r="A377" t="s">
        <v>1957</v>
      </c>
      <c r="B377" t="s">
        <v>1960</v>
      </c>
      <c r="C377">
        <v>5</v>
      </c>
      <c r="E377">
        <v>53706.010999999999</v>
      </c>
      <c r="G377">
        <v>8.0000000000000002E-3</v>
      </c>
      <c r="I377" t="s">
        <v>1708</v>
      </c>
      <c r="J377" t="s">
        <v>1709</v>
      </c>
    </row>
    <row r="378" spans="1:10">
      <c r="A378" t="s">
        <v>1957</v>
      </c>
      <c r="B378" t="s">
        <v>1960</v>
      </c>
      <c r="C378">
        <v>6</v>
      </c>
      <c r="E378">
        <v>53927.411999999997</v>
      </c>
      <c r="G378">
        <v>1.2E-2</v>
      </c>
      <c r="I378" t="s">
        <v>1708</v>
      </c>
      <c r="J378" t="s">
        <v>1709</v>
      </c>
    </row>
    <row r="379" spans="1:10">
      <c r="A379" t="s">
        <v>1961</v>
      </c>
      <c r="B379" t="s">
        <v>1918</v>
      </c>
      <c r="C379">
        <v>2</v>
      </c>
      <c r="E379">
        <v>53217</v>
      </c>
      <c r="G379">
        <v>0.6</v>
      </c>
      <c r="I379" t="s">
        <v>1708</v>
      </c>
      <c r="J379" t="s">
        <v>1709</v>
      </c>
    </row>
    <row r="380" spans="1:10">
      <c r="A380" t="s">
        <v>1961</v>
      </c>
      <c r="B380" t="s">
        <v>1918</v>
      </c>
      <c r="C380">
        <v>4</v>
      </c>
      <c r="E380">
        <v>53217</v>
      </c>
      <c r="G380">
        <v>0.6</v>
      </c>
      <c r="I380" t="s">
        <v>1708</v>
      </c>
      <c r="J380" t="s">
        <v>1709</v>
      </c>
    </row>
    <row r="381" spans="1:10">
      <c r="A381" t="s">
        <v>1961</v>
      </c>
      <c r="B381" t="s">
        <v>1918</v>
      </c>
      <c r="C381">
        <v>3</v>
      </c>
      <c r="E381">
        <v>53217</v>
      </c>
      <c r="G381">
        <v>0.6</v>
      </c>
      <c r="I381" t="s">
        <v>1708</v>
      </c>
      <c r="J381" t="s">
        <v>1709</v>
      </c>
    </row>
    <row r="382" spans="1:10">
      <c r="A382" t="s">
        <v>1962</v>
      </c>
      <c r="B382" t="s">
        <v>1918</v>
      </c>
      <c r="C382">
        <v>2</v>
      </c>
      <c r="E382">
        <v>53484.49</v>
      </c>
      <c r="G382">
        <v>0.2</v>
      </c>
      <c r="I382" t="s">
        <v>1708</v>
      </c>
      <c r="J382" t="s">
        <v>1709</v>
      </c>
    </row>
    <row r="383" spans="1:10">
      <c r="A383" t="s">
        <v>1962</v>
      </c>
      <c r="B383" t="s">
        <v>1918</v>
      </c>
      <c r="C383">
        <v>4</v>
      </c>
      <c r="E383">
        <v>53484.49</v>
      </c>
      <c r="G383">
        <v>0.2</v>
      </c>
      <c r="I383" t="s">
        <v>1708</v>
      </c>
      <c r="J383" t="s">
        <v>1709</v>
      </c>
    </row>
    <row r="384" spans="1:10">
      <c r="A384" t="s">
        <v>1962</v>
      </c>
      <c r="B384" t="s">
        <v>1918</v>
      </c>
      <c r="C384">
        <v>3</v>
      </c>
      <c r="E384">
        <v>53484.49</v>
      </c>
      <c r="G384">
        <v>0.2</v>
      </c>
      <c r="I384" t="s">
        <v>1708</v>
      </c>
      <c r="J384" t="s">
        <v>1709</v>
      </c>
    </row>
    <row r="385" spans="1:10">
      <c r="A385" t="s">
        <v>1963</v>
      </c>
      <c r="B385" t="s">
        <v>1964</v>
      </c>
      <c r="C385">
        <v>2</v>
      </c>
      <c r="E385">
        <v>53541.16</v>
      </c>
      <c r="G385">
        <v>0.13</v>
      </c>
      <c r="I385" t="s">
        <v>1708</v>
      </c>
      <c r="J385" t="s">
        <v>1709</v>
      </c>
    </row>
    <row r="386" spans="1:10">
      <c r="A386" t="s">
        <v>1963</v>
      </c>
      <c r="B386" t="s">
        <v>1964</v>
      </c>
      <c r="C386">
        <v>3</v>
      </c>
      <c r="E386">
        <v>53640.86</v>
      </c>
      <c r="G386">
        <v>0.2</v>
      </c>
      <c r="I386" t="s">
        <v>1708</v>
      </c>
      <c r="J386" t="s">
        <v>1709</v>
      </c>
    </row>
    <row r="387" spans="1:10">
      <c r="A387" t="s">
        <v>1963</v>
      </c>
      <c r="B387" t="s">
        <v>1964</v>
      </c>
      <c r="C387">
        <v>4</v>
      </c>
      <c r="E387">
        <v>53782.78</v>
      </c>
      <c r="G387">
        <v>0.02</v>
      </c>
      <c r="I387" t="s">
        <v>1708</v>
      </c>
      <c r="J387" t="s">
        <v>1709</v>
      </c>
    </row>
    <row r="388" spans="1:10">
      <c r="A388" t="s">
        <v>1965</v>
      </c>
      <c r="B388" t="s">
        <v>1918</v>
      </c>
      <c r="C388">
        <v>4</v>
      </c>
      <c r="E388">
        <v>53671.45</v>
      </c>
      <c r="G388">
        <v>0.2</v>
      </c>
      <c r="I388" t="s">
        <v>1708</v>
      </c>
      <c r="J388" t="s">
        <v>1709</v>
      </c>
    </row>
    <row r="389" spans="1:10">
      <c r="A389" t="s">
        <v>1965</v>
      </c>
      <c r="B389" t="s">
        <v>1918</v>
      </c>
      <c r="C389">
        <v>3</v>
      </c>
      <c r="E389">
        <v>53671.45</v>
      </c>
      <c r="G389">
        <v>0.2</v>
      </c>
      <c r="I389" t="s">
        <v>1708</v>
      </c>
      <c r="J389" t="s">
        <v>1709</v>
      </c>
    </row>
    <row r="390" spans="1:10">
      <c r="A390" t="s">
        <v>1965</v>
      </c>
      <c r="B390" t="s">
        <v>1918</v>
      </c>
      <c r="C390">
        <v>2</v>
      </c>
      <c r="E390">
        <v>53671.45</v>
      </c>
      <c r="G390">
        <v>0.2</v>
      </c>
      <c r="I390" t="s">
        <v>1708</v>
      </c>
      <c r="J390" t="s">
        <v>1709</v>
      </c>
    </row>
    <row r="391" spans="1:10">
      <c r="A391" t="s">
        <v>1966</v>
      </c>
      <c r="B391" t="s">
        <v>189</v>
      </c>
      <c r="C391">
        <v>3</v>
      </c>
      <c r="E391">
        <v>53804.711000000003</v>
      </c>
      <c r="G391">
        <v>1.0999999999999999E-2</v>
      </c>
      <c r="I391" t="s">
        <v>1967</v>
      </c>
      <c r="J391" t="s">
        <v>1705</v>
      </c>
    </row>
    <row r="392" spans="1:10">
      <c r="A392" t="s">
        <v>1966</v>
      </c>
      <c r="B392" t="s">
        <v>189</v>
      </c>
      <c r="C392">
        <v>4</v>
      </c>
      <c r="E392">
        <v>53927.51</v>
      </c>
      <c r="G392">
        <v>0.03</v>
      </c>
      <c r="I392" t="s">
        <v>1968</v>
      </c>
      <c r="J392" t="s">
        <v>1705</v>
      </c>
    </row>
    <row r="393" spans="1:10">
      <c r="A393" t="s">
        <v>1966</v>
      </c>
      <c r="B393" t="s">
        <v>189</v>
      </c>
      <c r="C393">
        <v>5</v>
      </c>
      <c r="E393">
        <v>54077.98</v>
      </c>
      <c r="G393">
        <v>0.04</v>
      </c>
      <c r="I393" t="s">
        <v>1969</v>
      </c>
      <c r="J393" t="s">
        <v>1705</v>
      </c>
    </row>
    <row r="394" spans="1:10">
      <c r="A394" t="s">
        <v>1970</v>
      </c>
      <c r="B394" t="s">
        <v>1918</v>
      </c>
      <c r="C394">
        <v>4</v>
      </c>
      <c r="E394">
        <v>53815.78</v>
      </c>
      <c r="G394">
        <v>0.2</v>
      </c>
      <c r="I394" t="s">
        <v>1708</v>
      </c>
      <c r="J394" t="s">
        <v>1709</v>
      </c>
    </row>
    <row r="395" spans="1:10">
      <c r="A395" t="s">
        <v>1970</v>
      </c>
      <c r="B395" t="s">
        <v>1918</v>
      </c>
      <c r="C395">
        <v>2</v>
      </c>
      <c r="E395">
        <v>53815.78</v>
      </c>
      <c r="G395">
        <v>0.2</v>
      </c>
      <c r="I395" t="s">
        <v>1708</v>
      </c>
      <c r="J395" t="s">
        <v>1709</v>
      </c>
    </row>
    <row r="396" spans="1:10">
      <c r="A396" t="s">
        <v>1970</v>
      </c>
      <c r="B396" t="s">
        <v>1918</v>
      </c>
      <c r="C396">
        <v>3</v>
      </c>
      <c r="E396">
        <v>53815.78</v>
      </c>
      <c r="G396">
        <v>0.2</v>
      </c>
      <c r="I396" t="s">
        <v>1708</v>
      </c>
      <c r="J396" t="s">
        <v>1709</v>
      </c>
    </row>
    <row r="397" spans="1:10">
      <c r="A397" t="s">
        <v>1971</v>
      </c>
      <c r="B397" t="s">
        <v>1918</v>
      </c>
      <c r="C397">
        <v>3</v>
      </c>
      <c r="E397">
        <v>53927.98</v>
      </c>
      <c r="G397">
        <v>0.2</v>
      </c>
      <c r="I397" t="s">
        <v>1708</v>
      </c>
      <c r="J397" t="s">
        <v>1709</v>
      </c>
    </row>
    <row r="398" spans="1:10">
      <c r="A398" t="s">
        <v>1971</v>
      </c>
      <c r="B398" t="s">
        <v>1918</v>
      </c>
      <c r="C398">
        <v>2</v>
      </c>
      <c r="E398">
        <v>53927.98</v>
      </c>
      <c r="G398">
        <v>0.2</v>
      </c>
      <c r="I398" t="s">
        <v>1708</v>
      </c>
      <c r="J398" t="s">
        <v>1709</v>
      </c>
    </row>
    <row r="399" spans="1:10">
      <c r="A399" t="s">
        <v>1971</v>
      </c>
      <c r="B399" t="s">
        <v>1918</v>
      </c>
      <c r="C399">
        <v>4</v>
      </c>
      <c r="E399">
        <v>53927.98</v>
      </c>
      <c r="G399">
        <v>0.2</v>
      </c>
      <c r="I399" t="s">
        <v>1708</v>
      </c>
      <c r="J399" t="s">
        <v>1709</v>
      </c>
    </row>
    <row r="400" spans="1:10">
      <c r="A400" t="s">
        <v>1963</v>
      </c>
      <c r="B400" t="s">
        <v>1972</v>
      </c>
      <c r="C400">
        <v>1</v>
      </c>
      <c r="E400">
        <v>53962.97</v>
      </c>
      <c r="G400">
        <v>0.4</v>
      </c>
      <c r="I400" t="s">
        <v>1708</v>
      </c>
      <c r="J400" t="s">
        <v>1709</v>
      </c>
    </row>
    <row r="401" spans="1:10">
      <c r="A401" t="s">
        <v>1963</v>
      </c>
      <c r="B401" t="s">
        <v>1972</v>
      </c>
      <c r="C401">
        <v>2</v>
      </c>
      <c r="E401">
        <v>54032.7</v>
      </c>
      <c r="G401">
        <v>1.1000000000000001</v>
      </c>
      <c r="I401" t="s">
        <v>1708</v>
      </c>
      <c r="J401" t="s">
        <v>1709</v>
      </c>
    </row>
    <row r="402" spans="1:10">
      <c r="A402" t="s">
        <v>1963</v>
      </c>
      <c r="B402" t="s">
        <v>1972</v>
      </c>
      <c r="C402">
        <v>3</v>
      </c>
      <c r="E402">
        <v>54132.87</v>
      </c>
      <c r="G402">
        <v>2.1999999999999999E-2</v>
      </c>
      <c r="I402" t="s">
        <v>1708</v>
      </c>
      <c r="J402" t="s">
        <v>1709</v>
      </c>
    </row>
    <row r="403" spans="1:10">
      <c r="A403" t="s">
        <v>1973</v>
      </c>
      <c r="B403" t="s">
        <v>1918</v>
      </c>
      <c r="C403">
        <v>3</v>
      </c>
      <c r="E403">
        <v>54017.09</v>
      </c>
      <c r="G403">
        <v>0.2</v>
      </c>
      <c r="I403" t="s">
        <v>1708</v>
      </c>
      <c r="J403" t="s">
        <v>1709</v>
      </c>
    </row>
    <row r="404" spans="1:10">
      <c r="A404" t="s">
        <v>1973</v>
      </c>
      <c r="B404" t="s">
        <v>1918</v>
      </c>
      <c r="C404">
        <v>2</v>
      </c>
      <c r="E404">
        <v>54017.09</v>
      </c>
      <c r="G404">
        <v>0.2</v>
      </c>
      <c r="I404" t="s">
        <v>1708</v>
      </c>
      <c r="J404" t="s">
        <v>1709</v>
      </c>
    </row>
    <row r="405" spans="1:10">
      <c r="A405" t="s">
        <v>1973</v>
      </c>
      <c r="B405" t="s">
        <v>1918</v>
      </c>
      <c r="C405">
        <v>4</v>
      </c>
      <c r="E405">
        <v>54017.09</v>
      </c>
      <c r="G405">
        <v>0.18</v>
      </c>
      <c r="I405" t="s">
        <v>1708</v>
      </c>
      <c r="J405" t="s">
        <v>1709</v>
      </c>
    </row>
    <row r="406" spans="1:10">
      <c r="A406" t="s">
        <v>1974</v>
      </c>
      <c r="B406" t="s">
        <v>1918</v>
      </c>
      <c r="C406">
        <v>2</v>
      </c>
      <c r="E406">
        <v>54089</v>
      </c>
      <c r="G406">
        <v>0.5</v>
      </c>
      <c r="I406" t="s">
        <v>1708</v>
      </c>
      <c r="J406" t="s">
        <v>1709</v>
      </c>
    </row>
    <row r="407" spans="1:10">
      <c r="A407" t="s">
        <v>1974</v>
      </c>
      <c r="B407" t="s">
        <v>1918</v>
      </c>
      <c r="C407">
        <v>3</v>
      </c>
      <c r="E407">
        <v>54089</v>
      </c>
      <c r="G407">
        <v>0.5</v>
      </c>
      <c r="I407" t="s">
        <v>1708</v>
      </c>
      <c r="J407" t="s">
        <v>1709</v>
      </c>
    </row>
    <row r="408" spans="1:10">
      <c r="A408" t="s">
        <v>1974</v>
      </c>
      <c r="B408" t="s">
        <v>1918</v>
      </c>
      <c r="C408">
        <v>4</v>
      </c>
      <c r="E408">
        <v>54089</v>
      </c>
      <c r="G408">
        <v>0.5</v>
      </c>
      <c r="I408" t="s">
        <v>1708</v>
      </c>
      <c r="J408" t="s">
        <v>1709</v>
      </c>
    </row>
    <row r="409" spans="1:10">
      <c r="A409" t="s">
        <v>1975</v>
      </c>
      <c r="B409" t="s">
        <v>1918</v>
      </c>
      <c r="C409">
        <v>2</v>
      </c>
      <c r="E409">
        <v>54147.71</v>
      </c>
      <c r="G409">
        <v>0.2</v>
      </c>
      <c r="I409" t="s">
        <v>1708</v>
      </c>
      <c r="J409" t="s">
        <v>1709</v>
      </c>
    </row>
    <row r="410" spans="1:10">
      <c r="A410" t="s">
        <v>1975</v>
      </c>
      <c r="B410" t="s">
        <v>1918</v>
      </c>
      <c r="C410">
        <v>4</v>
      </c>
      <c r="E410">
        <v>54147.71</v>
      </c>
      <c r="G410">
        <v>0.2</v>
      </c>
      <c r="I410" t="s">
        <v>1708</v>
      </c>
      <c r="J410" t="s">
        <v>1709</v>
      </c>
    </row>
    <row r="411" spans="1:10">
      <c r="A411" t="s">
        <v>1975</v>
      </c>
      <c r="B411" t="s">
        <v>1918</v>
      </c>
      <c r="C411">
        <v>3</v>
      </c>
      <c r="E411">
        <v>54147.71</v>
      </c>
      <c r="G411">
        <v>0.2</v>
      </c>
      <c r="I411" t="s">
        <v>1708</v>
      </c>
      <c r="J411" t="s">
        <v>1709</v>
      </c>
    </row>
    <row r="412" spans="1:10">
      <c r="A412" t="s">
        <v>1976</v>
      </c>
      <c r="B412" t="s">
        <v>1918</v>
      </c>
      <c r="C412">
        <v>2</v>
      </c>
      <c r="E412">
        <v>54196.58</v>
      </c>
      <c r="G412">
        <v>0.2</v>
      </c>
      <c r="I412" t="s">
        <v>1708</v>
      </c>
      <c r="J412" t="s">
        <v>1709</v>
      </c>
    </row>
    <row r="413" spans="1:10">
      <c r="A413" t="s">
        <v>1976</v>
      </c>
      <c r="B413" t="s">
        <v>1918</v>
      </c>
      <c r="C413">
        <v>4</v>
      </c>
      <c r="E413">
        <v>54196.58</v>
      </c>
      <c r="G413">
        <v>0.2</v>
      </c>
      <c r="I413" t="s">
        <v>1708</v>
      </c>
      <c r="J413" t="s">
        <v>1709</v>
      </c>
    </row>
    <row r="414" spans="1:10">
      <c r="A414" t="s">
        <v>1976</v>
      </c>
      <c r="B414" t="s">
        <v>1918</v>
      </c>
      <c r="C414">
        <v>3</v>
      </c>
      <c r="E414">
        <v>54196.58</v>
      </c>
      <c r="G414">
        <v>0.2</v>
      </c>
      <c r="I414" t="s">
        <v>1708</v>
      </c>
      <c r="J414" t="s">
        <v>1709</v>
      </c>
    </row>
    <row r="415" spans="1:10">
      <c r="A415" t="s">
        <v>1963</v>
      </c>
      <c r="B415" t="s">
        <v>1977</v>
      </c>
      <c r="C415">
        <v>1</v>
      </c>
      <c r="E415">
        <v>54198.16</v>
      </c>
      <c r="G415">
        <v>0.15</v>
      </c>
      <c r="I415" t="s">
        <v>1708</v>
      </c>
      <c r="J415" t="s">
        <v>1709</v>
      </c>
    </row>
    <row r="416" spans="1:10">
      <c r="A416" t="s">
        <v>1963</v>
      </c>
      <c r="B416" t="s">
        <v>1977</v>
      </c>
      <c r="C416">
        <v>2</v>
      </c>
      <c r="E416">
        <v>54252.09</v>
      </c>
      <c r="G416">
        <v>0.1</v>
      </c>
      <c r="I416" t="s">
        <v>1708</v>
      </c>
      <c r="J416" t="s">
        <v>1709</v>
      </c>
    </row>
    <row r="417" spans="1:10">
      <c r="A417" t="s">
        <v>1963</v>
      </c>
      <c r="B417" t="s">
        <v>1977</v>
      </c>
      <c r="C417">
        <v>3</v>
      </c>
      <c r="E417">
        <v>54329.017</v>
      </c>
      <c r="G417">
        <v>1.0999999999999999E-2</v>
      </c>
      <c r="I417" t="s">
        <v>1708</v>
      </c>
      <c r="J417" t="s">
        <v>1709</v>
      </c>
    </row>
    <row r="418" spans="1:10">
      <c r="A418" t="s">
        <v>1963</v>
      </c>
      <c r="B418" t="s">
        <v>1977</v>
      </c>
      <c r="C418">
        <v>4</v>
      </c>
      <c r="E418">
        <v>54425.3</v>
      </c>
      <c r="G418">
        <v>0.11</v>
      </c>
      <c r="I418" t="s">
        <v>1708</v>
      </c>
      <c r="J418" t="s">
        <v>1709</v>
      </c>
    </row>
    <row r="419" spans="1:10">
      <c r="A419" t="s">
        <v>1963</v>
      </c>
      <c r="B419" t="s">
        <v>1977</v>
      </c>
      <c r="C419">
        <v>5</v>
      </c>
      <c r="E419">
        <v>54536.45</v>
      </c>
      <c r="G419">
        <v>0.21</v>
      </c>
      <c r="I419" t="s">
        <v>1708</v>
      </c>
      <c r="J419" t="s">
        <v>1709</v>
      </c>
    </row>
    <row r="420" spans="1:10">
      <c r="A420" t="s">
        <v>1978</v>
      </c>
      <c r="B420" t="s">
        <v>1918</v>
      </c>
      <c r="C420">
        <v>2</v>
      </c>
      <c r="E420">
        <v>54237.73</v>
      </c>
      <c r="G420">
        <v>0.3</v>
      </c>
      <c r="I420" t="s">
        <v>1708</v>
      </c>
      <c r="J420" t="s">
        <v>1709</v>
      </c>
    </row>
    <row r="421" spans="1:10">
      <c r="A421" t="s">
        <v>1978</v>
      </c>
      <c r="B421" t="s">
        <v>1918</v>
      </c>
      <c r="C421">
        <v>3</v>
      </c>
      <c r="E421">
        <v>54237.73</v>
      </c>
      <c r="G421">
        <v>0.3</v>
      </c>
      <c r="I421" t="s">
        <v>1708</v>
      </c>
      <c r="J421" t="s">
        <v>1709</v>
      </c>
    </row>
    <row r="422" spans="1:10">
      <c r="A422" t="s">
        <v>1978</v>
      </c>
      <c r="B422" t="s">
        <v>1918</v>
      </c>
      <c r="C422">
        <v>4</v>
      </c>
      <c r="E422">
        <v>54237.73</v>
      </c>
      <c r="G422">
        <v>0.3</v>
      </c>
      <c r="I422" t="s">
        <v>1708</v>
      </c>
      <c r="J422" t="s">
        <v>1709</v>
      </c>
    </row>
    <row r="423" spans="1:10">
      <c r="A423" t="s">
        <v>1979</v>
      </c>
      <c r="B423" t="s">
        <v>1918</v>
      </c>
      <c r="C423">
        <v>4</v>
      </c>
      <c r="E423">
        <v>54272.4</v>
      </c>
      <c r="G423">
        <v>0.6</v>
      </c>
      <c r="I423" t="s">
        <v>1708</v>
      </c>
      <c r="J423" t="s">
        <v>1709</v>
      </c>
    </row>
    <row r="424" spans="1:10">
      <c r="A424" t="s">
        <v>1979</v>
      </c>
      <c r="B424" t="s">
        <v>1918</v>
      </c>
      <c r="C424">
        <v>3</v>
      </c>
      <c r="E424">
        <v>54272.4</v>
      </c>
      <c r="G424">
        <v>0.6</v>
      </c>
      <c r="I424" t="s">
        <v>1708</v>
      </c>
      <c r="J424" t="s">
        <v>1709</v>
      </c>
    </row>
    <row r="425" spans="1:10">
      <c r="A425" t="s">
        <v>1979</v>
      </c>
      <c r="B425" t="s">
        <v>1918</v>
      </c>
      <c r="C425">
        <v>2</v>
      </c>
      <c r="E425">
        <v>54272.4</v>
      </c>
      <c r="G425">
        <v>0.6</v>
      </c>
      <c r="I425" t="s">
        <v>1708</v>
      </c>
      <c r="J425" t="s">
        <v>1709</v>
      </c>
    </row>
    <row r="426" spans="1:10">
      <c r="B426" t="s">
        <v>80</v>
      </c>
      <c r="C426">
        <v>1</v>
      </c>
      <c r="E426">
        <v>54296.66</v>
      </c>
      <c r="G426">
        <v>0.16</v>
      </c>
      <c r="I426" t="s">
        <v>1708</v>
      </c>
      <c r="J426" t="s">
        <v>1709</v>
      </c>
    </row>
    <row r="427" spans="1:10">
      <c r="B427" t="s">
        <v>80</v>
      </c>
      <c r="C427">
        <v>2</v>
      </c>
      <c r="E427">
        <v>54383.294999999998</v>
      </c>
      <c r="G427">
        <v>1.2E-2</v>
      </c>
      <c r="I427" t="s">
        <v>1708</v>
      </c>
      <c r="J427" t="s">
        <v>1709</v>
      </c>
    </row>
    <row r="428" spans="1:10">
      <c r="B428" t="s">
        <v>80</v>
      </c>
      <c r="C428">
        <v>3</v>
      </c>
      <c r="E428">
        <v>54476.298999999999</v>
      </c>
      <c r="G428">
        <v>3.0000000000000001E-3</v>
      </c>
      <c r="I428" t="s">
        <v>1708</v>
      </c>
      <c r="J428" t="s">
        <v>1709</v>
      </c>
    </row>
    <row r="429" spans="1:10">
      <c r="B429" t="s">
        <v>80</v>
      </c>
      <c r="C429">
        <v>4</v>
      </c>
      <c r="E429">
        <v>54572.81</v>
      </c>
      <c r="G429">
        <v>0.09</v>
      </c>
      <c r="I429" t="s">
        <v>1708</v>
      </c>
      <c r="J429" t="s">
        <v>1709</v>
      </c>
    </row>
    <row r="430" spans="1:10">
      <c r="B430" t="s">
        <v>80</v>
      </c>
      <c r="C430">
        <v>5</v>
      </c>
      <c r="E430">
        <v>54660.241000000002</v>
      </c>
      <c r="G430">
        <v>1.2E-2</v>
      </c>
      <c r="I430" t="s">
        <v>1708</v>
      </c>
      <c r="J430" t="s">
        <v>1709</v>
      </c>
    </row>
    <row r="431" spans="1:10">
      <c r="A431" t="s">
        <v>1980</v>
      </c>
      <c r="B431" t="s">
        <v>1918</v>
      </c>
      <c r="C431">
        <v>4</v>
      </c>
      <c r="E431">
        <v>54302.400000000001</v>
      </c>
      <c r="G431">
        <v>0.4</v>
      </c>
      <c r="I431" t="s">
        <v>1708</v>
      </c>
      <c r="J431" t="s">
        <v>1709</v>
      </c>
    </row>
    <row r="432" spans="1:10">
      <c r="A432" t="s">
        <v>1980</v>
      </c>
      <c r="B432" t="s">
        <v>1918</v>
      </c>
      <c r="C432">
        <v>3</v>
      </c>
      <c r="E432">
        <v>54302.400000000001</v>
      </c>
      <c r="G432">
        <v>0.4</v>
      </c>
      <c r="I432" t="s">
        <v>1708</v>
      </c>
      <c r="J432" t="s">
        <v>1709</v>
      </c>
    </row>
    <row r="433" spans="1:10">
      <c r="A433" t="s">
        <v>1980</v>
      </c>
      <c r="B433" t="s">
        <v>1918</v>
      </c>
      <c r="C433">
        <v>2</v>
      </c>
      <c r="E433">
        <v>54302.400000000001</v>
      </c>
      <c r="G433">
        <v>0.4</v>
      </c>
      <c r="I433" t="s">
        <v>1708</v>
      </c>
      <c r="J433" t="s">
        <v>1709</v>
      </c>
    </row>
    <row r="434" spans="1:10">
      <c r="A434" t="s">
        <v>1981</v>
      </c>
      <c r="B434" t="s">
        <v>1982</v>
      </c>
      <c r="C434">
        <v>6</v>
      </c>
      <c r="E434">
        <v>54316.817999999999</v>
      </c>
      <c r="G434">
        <v>3.0000000000000001E-3</v>
      </c>
      <c r="I434" t="s">
        <v>1983</v>
      </c>
      <c r="J434" t="s">
        <v>1705</v>
      </c>
    </row>
    <row r="435" spans="1:10">
      <c r="A435" t="s">
        <v>1981</v>
      </c>
      <c r="B435" t="s">
        <v>1982</v>
      </c>
      <c r="C435">
        <v>7</v>
      </c>
      <c r="E435">
        <v>54404.928</v>
      </c>
      <c r="G435">
        <v>3.0000000000000001E-3</v>
      </c>
      <c r="I435" t="s">
        <v>1984</v>
      </c>
      <c r="J435" t="s">
        <v>1705</v>
      </c>
    </row>
    <row r="436" spans="1:10">
      <c r="A436" t="s">
        <v>1981</v>
      </c>
      <c r="B436" t="s">
        <v>1982</v>
      </c>
      <c r="C436">
        <v>8</v>
      </c>
      <c r="E436">
        <v>54498.254999999997</v>
      </c>
      <c r="G436">
        <v>3.0000000000000001E-3</v>
      </c>
      <c r="I436" t="s">
        <v>1985</v>
      </c>
      <c r="J436" t="s">
        <v>1705</v>
      </c>
    </row>
    <row r="437" spans="1:10">
      <c r="A437" t="s">
        <v>1986</v>
      </c>
      <c r="B437" t="s">
        <v>1918</v>
      </c>
      <c r="C437">
        <v>3</v>
      </c>
      <c r="E437">
        <v>54327.19</v>
      </c>
      <c r="G437">
        <v>0.3</v>
      </c>
      <c r="I437" t="s">
        <v>1708</v>
      </c>
      <c r="J437" t="s">
        <v>1709</v>
      </c>
    </row>
    <row r="438" spans="1:10">
      <c r="A438" t="s">
        <v>1986</v>
      </c>
      <c r="B438" t="s">
        <v>1918</v>
      </c>
      <c r="C438">
        <v>2</v>
      </c>
      <c r="E438">
        <v>54327.19</v>
      </c>
      <c r="G438">
        <v>0.3</v>
      </c>
      <c r="I438" t="s">
        <v>1708</v>
      </c>
      <c r="J438" t="s">
        <v>1709</v>
      </c>
    </row>
    <row r="439" spans="1:10">
      <c r="A439" t="s">
        <v>1986</v>
      </c>
      <c r="B439" t="s">
        <v>1918</v>
      </c>
      <c r="C439">
        <v>4</v>
      </c>
      <c r="E439">
        <v>54327.19</v>
      </c>
      <c r="G439">
        <v>0.3</v>
      </c>
      <c r="I439" t="s">
        <v>1708</v>
      </c>
      <c r="J439" t="s">
        <v>1709</v>
      </c>
    </row>
    <row r="440" spans="1:10">
      <c r="A440" t="s">
        <v>1987</v>
      </c>
      <c r="B440" t="s">
        <v>1918</v>
      </c>
      <c r="C440">
        <v>3</v>
      </c>
      <c r="E440">
        <v>54349.54</v>
      </c>
      <c r="G440">
        <v>0.3</v>
      </c>
      <c r="I440" t="s">
        <v>1708</v>
      </c>
      <c r="J440" t="s">
        <v>1709</v>
      </c>
    </row>
    <row r="441" spans="1:10">
      <c r="A441" t="s">
        <v>1987</v>
      </c>
      <c r="B441" t="s">
        <v>1918</v>
      </c>
      <c r="C441">
        <v>2</v>
      </c>
      <c r="E441">
        <v>54349.54</v>
      </c>
      <c r="G441">
        <v>0.3</v>
      </c>
      <c r="I441" t="s">
        <v>1708</v>
      </c>
      <c r="J441" t="s">
        <v>1709</v>
      </c>
    </row>
    <row r="442" spans="1:10">
      <c r="A442" t="s">
        <v>1987</v>
      </c>
      <c r="B442" t="s">
        <v>1918</v>
      </c>
      <c r="C442">
        <v>4</v>
      </c>
      <c r="E442">
        <v>54349.54</v>
      </c>
      <c r="G442">
        <v>0.3</v>
      </c>
      <c r="I442" t="s">
        <v>1708</v>
      </c>
      <c r="J442" t="s">
        <v>1709</v>
      </c>
    </row>
    <row r="443" spans="1:10">
      <c r="A443" t="s">
        <v>1988</v>
      </c>
      <c r="B443" t="s">
        <v>1918</v>
      </c>
      <c r="C443">
        <v>3</v>
      </c>
      <c r="E443">
        <v>54368.63</v>
      </c>
      <c r="G443">
        <v>0.2</v>
      </c>
      <c r="I443" t="s">
        <v>1708</v>
      </c>
      <c r="J443" t="s">
        <v>1709</v>
      </c>
    </row>
    <row r="444" spans="1:10">
      <c r="A444" t="s">
        <v>1988</v>
      </c>
      <c r="B444" t="s">
        <v>1918</v>
      </c>
      <c r="C444">
        <v>2</v>
      </c>
      <c r="E444">
        <v>54368.63</v>
      </c>
      <c r="G444">
        <v>0.2</v>
      </c>
      <c r="I444" t="s">
        <v>1708</v>
      </c>
      <c r="J444" t="s">
        <v>1709</v>
      </c>
    </row>
    <row r="445" spans="1:10">
      <c r="A445" t="s">
        <v>1988</v>
      </c>
      <c r="B445" t="s">
        <v>1918</v>
      </c>
      <c r="C445">
        <v>4</v>
      </c>
      <c r="E445">
        <v>54368.63</v>
      </c>
      <c r="G445">
        <v>0.2</v>
      </c>
      <c r="I445" t="s">
        <v>1708</v>
      </c>
      <c r="J445" t="s">
        <v>1709</v>
      </c>
    </row>
    <row r="446" spans="1:10">
      <c r="A446" t="s">
        <v>1989</v>
      </c>
      <c r="B446" t="s">
        <v>1918</v>
      </c>
      <c r="C446">
        <v>2</v>
      </c>
      <c r="E446">
        <v>54385.54</v>
      </c>
      <c r="G446">
        <v>0.3</v>
      </c>
      <c r="I446" t="s">
        <v>1708</v>
      </c>
      <c r="J446" t="s">
        <v>1709</v>
      </c>
    </row>
    <row r="447" spans="1:10">
      <c r="A447" t="s">
        <v>1989</v>
      </c>
      <c r="B447" t="s">
        <v>1918</v>
      </c>
      <c r="C447">
        <v>4</v>
      </c>
      <c r="E447">
        <v>54385.54</v>
      </c>
      <c r="G447">
        <v>0.3</v>
      </c>
      <c r="I447" t="s">
        <v>1708</v>
      </c>
      <c r="J447" t="s">
        <v>1709</v>
      </c>
    </row>
    <row r="448" spans="1:10">
      <c r="A448" t="s">
        <v>1989</v>
      </c>
      <c r="B448" t="s">
        <v>1918</v>
      </c>
      <c r="C448">
        <v>3</v>
      </c>
      <c r="E448">
        <v>54385.54</v>
      </c>
      <c r="G448">
        <v>0.3</v>
      </c>
      <c r="I448" t="s">
        <v>1708</v>
      </c>
      <c r="J448" t="s">
        <v>1709</v>
      </c>
    </row>
    <row r="449" spans="1:10">
      <c r="A449" t="s">
        <v>1990</v>
      </c>
      <c r="B449" t="s">
        <v>1918</v>
      </c>
      <c r="C449">
        <v>2</v>
      </c>
      <c r="E449">
        <v>54400.54</v>
      </c>
      <c r="G449">
        <v>0.3</v>
      </c>
      <c r="I449" t="s">
        <v>1708</v>
      </c>
      <c r="J449" t="s">
        <v>1709</v>
      </c>
    </row>
    <row r="450" spans="1:10">
      <c r="A450" t="s">
        <v>1990</v>
      </c>
      <c r="B450" t="s">
        <v>1918</v>
      </c>
      <c r="C450">
        <v>4</v>
      </c>
      <c r="E450">
        <v>54400.54</v>
      </c>
      <c r="G450">
        <v>0.3</v>
      </c>
      <c r="I450" t="s">
        <v>1708</v>
      </c>
      <c r="J450" t="s">
        <v>1709</v>
      </c>
    </row>
    <row r="451" spans="1:10">
      <c r="A451" t="s">
        <v>1990</v>
      </c>
      <c r="B451" t="s">
        <v>1918</v>
      </c>
      <c r="C451">
        <v>3</v>
      </c>
      <c r="E451">
        <v>54400.54</v>
      </c>
      <c r="G451">
        <v>0.3</v>
      </c>
      <c r="I451" t="s">
        <v>1708</v>
      </c>
      <c r="J451" t="s">
        <v>1709</v>
      </c>
    </row>
    <row r="452" spans="1:10">
      <c r="A452" t="s">
        <v>1991</v>
      </c>
      <c r="B452" t="s">
        <v>1918</v>
      </c>
      <c r="C452">
        <v>2</v>
      </c>
      <c r="E452">
        <v>54413.48</v>
      </c>
      <c r="G452">
        <v>0.21</v>
      </c>
      <c r="I452" t="s">
        <v>1708</v>
      </c>
      <c r="J452" t="s">
        <v>1709</v>
      </c>
    </row>
    <row r="453" spans="1:10">
      <c r="A453" t="s">
        <v>1991</v>
      </c>
      <c r="B453" t="s">
        <v>1918</v>
      </c>
      <c r="C453">
        <v>4</v>
      </c>
      <c r="E453">
        <v>54413.48</v>
      </c>
      <c r="G453">
        <v>0.21</v>
      </c>
      <c r="I453" t="s">
        <v>1708</v>
      </c>
      <c r="J453" t="s">
        <v>1709</v>
      </c>
    </row>
    <row r="454" spans="1:10">
      <c r="A454" t="s">
        <v>1991</v>
      </c>
      <c r="B454" t="s">
        <v>1918</v>
      </c>
      <c r="C454">
        <v>3</v>
      </c>
      <c r="E454">
        <v>54413.48</v>
      </c>
      <c r="G454">
        <v>0.21</v>
      </c>
      <c r="I454" t="s">
        <v>1708</v>
      </c>
      <c r="J454" t="s">
        <v>1709</v>
      </c>
    </row>
    <row r="455" spans="1:10">
      <c r="A455" t="s">
        <v>1992</v>
      </c>
      <c r="B455" t="s">
        <v>1918</v>
      </c>
      <c r="C455">
        <v>2</v>
      </c>
      <c r="E455">
        <v>54425.35</v>
      </c>
      <c r="G455">
        <v>0.21</v>
      </c>
      <c r="I455" t="s">
        <v>1708</v>
      </c>
      <c r="J455" t="s">
        <v>1709</v>
      </c>
    </row>
    <row r="456" spans="1:10">
      <c r="A456" t="s">
        <v>1992</v>
      </c>
      <c r="B456" t="s">
        <v>1918</v>
      </c>
      <c r="C456">
        <v>4</v>
      </c>
      <c r="E456">
        <v>54425.35</v>
      </c>
      <c r="G456">
        <v>0.21</v>
      </c>
      <c r="I456" t="s">
        <v>1708</v>
      </c>
      <c r="J456" t="s">
        <v>1709</v>
      </c>
    </row>
    <row r="457" spans="1:10">
      <c r="A457" t="s">
        <v>1992</v>
      </c>
      <c r="B457" t="s">
        <v>1918</v>
      </c>
      <c r="C457">
        <v>3</v>
      </c>
      <c r="E457">
        <v>54425.35</v>
      </c>
      <c r="G457">
        <v>0.21</v>
      </c>
      <c r="I457" t="s">
        <v>1708</v>
      </c>
      <c r="J457" t="s">
        <v>1709</v>
      </c>
    </row>
    <row r="458" spans="1:10">
      <c r="A458" t="s">
        <v>1993</v>
      </c>
      <c r="B458" t="s">
        <v>1918</v>
      </c>
      <c r="C458">
        <v>4</v>
      </c>
      <c r="E458">
        <v>54436.14</v>
      </c>
      <c r="G458">
        <v>0.3</v>
      </c>
      <c r="I458" t="s">
        <v>1708</v>
      </c>
      <c r="J458" t="s">
        <v>1709</v>
      </c>
    </row>
    <row r="459" spans="1:10">
      <c r="A459" t="s">
        <v>1993</v>
      </c>
      <c r="B459" t="s">
        <v>1918</v>
      </c>
      <c r="C459">
        <v>2</v>
      </c>
      <c r="E459">
        <v>54436.14</v>
      </c>
      <c r="G459">
        <v>0.3</v>
      </c>
      <c r="I459" t="s">
        <v>1708</v>
      </c>
      <c r="J459" t="s">
        <v>1709</v>
      </c>
    </row>
    <row r="460" spans="1:10">
      <c r="A460" t="s">
        <v>1993</v>
      </c>
      <c r="B460" t="s">
        <v>1918</v>
      </c>
      <c r="C460">
        <v>3</v>
      </c>
      <c r="E460">
        <v>54436.14</v>
      </c>
      <c r="G460">
        <v>0.3</v>
      </c>
      <c r="I460" t="s">
        <v>1708</v>
      </c>
      <c r="J460" t="s">
        <v>1709</v>
      </c>
    </row>
    <row r="461" spans="1:10">
      <c r="A461" t="s">
        <v>1994</v>
      </c>
      <c r="B461" t="s">
        <v>1918</v>
      </c>
      <c r="C461">
        <v>4</v>
      </c>
      <c r="E461">
        <v>54445.03</v>
      </c>
      <c r="G461">
        <v>0.3</v>
      </c>
      <c r="I461" t="s">
        <v>1708</v>
      </c>
      <c r="J461" t="s">
        <v>1709</v>
      </c>
    </row>
    <row r="462" spans="1:10">
      <c r="A462" t="s">
        <v>1994</v>
      </c>
      <c r="B462" t="s">
        <v>1918</v>
      </c>
      <c r="C462">
        <v>3</v>
      </c>
      <c r="E462">
        <v>54445.03</v>
      </c>
      <c r="G462">
        <v>0.3</v>
      </c>
      <c r="I462" t="s">
        <v>1708</v>
      </c>
      <c r="J462" t="s">
        <v>1709</v>
      </c>
    </row>
    <row r="463" spans="1:10">
      <c r="A463" t="s">
        <v>1994</v>
      </c>
      <c r="B463" t="s">
        <v>1918</v>
      </c>
      <c r="C463">
        <v>2</v>
      </c>
      <c r="E463">
        <v>54445.03</v>
      </c>
      <c r="G463">
        <v>0.3</v>
      </c>
      <c r="I463" t="s">
        <v>1708</v>
      </c>
      <c r="J463" t="s">
        <v>1709</v>
      </c>
    </row>
    <row r="464" spans="1:10">
      <c r="A464" t="s">
        <v>1995</v>
      </c>
      <c r="B464" t="s">
        <v>1918</v>
      </c>
      <c r="C464">
        <v>3</v>
      </c>
      <c r="E464">
        <v>54453.39</v>
      </c>
      <c r="G464">
        <v>0.2</v>
      </c>
      <c r="I464" t="s">
        <v>1708</v>
      </c>
      <c r="J464" t="s">
        <v>1709</v>
      </c>
    </row>
    <row r="465" spans="1:10">
      <c r="A465" t="s">
        <v>1995</v>
      </c>
      <c r="B465" t="s">
        <v>1918</v>
      </c>
      <c r="C465">
        <v>2</v>
      </c>
      <c r="E465">
        <v>54453.39</v>
      </c>
      <c r="G465">
        <v>0.2</v>
      </c>
      <c r="I465" t="s">
        <v>1708</v>
      </c>
      <c r="J465" t="s">
        <v>1709</v>
      </c>
    </row>
    <row r="466" spans="1:10">
      <c r="A466" t="s">
        <v>1995</v>
      </c>
      <c r="B466" t="s">
        <v>1918</v>
      </c>
      <c r="C466">
        <v>4</v>
      </c>
      <c r="E466">
        <v>54453.39</v>
      </c>
      <c r="G466">
        <v>0.2</v>
      </c>
      <c r="I466" t="s">
        <v>1708</v>
      </c>
      <c r="J466" t="s">
        <v>1709</v>
      </c>
    </row>
    <row r="467" spans="1:10">
      <c r="A467" t="s">
        <v>1996</v>
      </c>
      <c r="B467" t="s">
        <v>1918</v>
      </c>
      <c r="C467">
        <v>3</v>
      </c>
      <c r="E467">
        <v>54461.69</v>
      </c>
      <c r="G467">
        <v>0.2</v>
      </c>
      <c r="I467" t="s">
        <v>1708</v>
      </c>
      <c r="J467" t="s">
        <v>1709</v>
      </c>
    </row>
    <row r="468" spans="1:10">
      <c r="A468" t="s">
        <v>1996</v>
      </c>
      <c r="B468" t="s">
        <v>1918</v>
      </c>
      <c r="C468">
        <v>2</v>
      </c>
      <c r="E468">
        <v>54461.69</v>
      </c>
      <c r="G468">
        <v>0.2</v>
      </c>
      <c r="I468" t="s">
        <v>1708</v>
      </c>
      <c r="J468" t="s">
        <v>1709</v>
      </c>
    </row>
    <row r="469" spans="1:10">
      <c r="A469" t="s">
        <v>1996</v>
      </c>
      <c r="B469" t="s">
        <v>1918</v>
      </c>
      <c r="C469">
        <v>4</v>
      </c>
      <c r="E469">
        <v>54461.69</v>
      </c>
      <c r="G469">
        <v>0.2</v>
      </c>
      <c r="I469" t="s">
        <v>1708</v>
      </c>
      <c r="J469" t="s">
        <v>1709</v>
      </c>
    </row>
    <row r="470" spans="1:10">
      <c r="A470" t="s">
        <v>1997</v>
      </c>
      <c r="B470" t="s">
        <v>1918</v>
      </c>
      <c r="C470">
        <v>3</v>
      </c>
      <c r="E470">
        <v>54468.52</v>
      </c>
      <c r="G470">
        <v>0.21</v>
      </c>
      <c r="I470" t="s">
        <v>1708</v>
      </c>
      <c r="J470" t="s">
        <v>1709</v>
      </c>
    </row>
    <row r="471" spans="1:10">
      <c r="A471" t="s">
        <v>1997</v>
      </c>
      <c r="B471" t="s">
        <v>1918</v>
      </c>
      <c r="C471">
        <v>2</v>
      </c>
      <c r="E471">
        <v>54468.52</v>
      </c>
      <c r="G471">
        <v>0.21</v>
      </c>
      <c r="I471" t="s">
        <v>1708</v>
      </c>
      <c r="J471" t="s">
        <v>1709</v>
      </c>
    </row>
    <row r="472" spans="1:10">
      <c r="A472" t="s">
        <v>1997</v>
      </c>
      <c r="B472" t="s">
        <v>1918</v>
      </c>
      <c r="C472">
        <v>4</v>
      </c>
      <c r="E472">
        <v>54468.52</v>
      </c>
      <c r="G472">
        <v>0.21</v>
      </c>
      <c r="I472" t="s">
        <v>1708</v>
      </c>
      <c r="J472" t="s">
        <v>1709</v>
      </c>
    </row>
    <row r="473" spans="1:10">
      <c r="A473" t="s">
        <v>1998</v>
      </c>
      <c r="B473" t="s">
        <v>1918</v>
      </c>
      <c r="C473">
        <v>2</v>
      </c>
      <c r="E473">
        <v>54474.81</v>
      </c>
      <c r="G473">
        <v>0.3</v>
      </c>
      <c r="I473" t="s">
        <v>1708</v>
      </c>
      <c r="J473" t="s">
        <v>1709</v>
      </c>
    </row>
    <row r="474" spans="1:10">
      <c r="A474" t="s">
        <v>1998</v>
      </c>
      <c r="B474" t="s">
        <v>1918</v>
      </c>
      <c r="C474">
        <v>4</v>
      </c>
      <c r="E474">
        <v>54474.81</v>
      </c>
      <c r="G474">
        <v>0.3</v>
      </c>
      <c r="I474" t="s">
        <v>1708</v>
      </c>
      <c r="J474" t="s">
        <v>1709</v>
      </c>
    </row>
    <row r="475" spans="1:10">
      <c r="A475" t="s">
        <v>1998</v>
      </c>
      <c r="B475" t="s">
        <v>1918</v>
      </c>
      <c r="C475">
        <v>3</v>
      </c>
      <c r="E475">
        <v>54474.81</v>
      </c>
      <c r="G475">
        <v>0.3</v>
      </c>
      <c r="I475" t="s">
        <v>1708</v>
      </c>
      <c r="J475" t="s">
        <v>1709</v>
      </c>
    </row>
    <row r="476" spans="1:10">
      <c r="A476" t="s">
        <v>1999</v>
      </c>
      <c r="B476" t="s">
        <v>1918</v>
      </c>
      <c r="C476">
        <v>2</v>
      </c>
      <c r="E476">
        <v>54480.62</v>
      </c>
      <c r="G476">
        <v>0.21</v>
      </c>
      <c r="I476" t="s">
        <v>1708</v>
      </c>
      <c r="J476" t="s">
        <v>1709</v>
      </c>
    </row>
    <row r="477" spans="1:10">
      <c r="A477" t="s">
        <v>1999</v>
      </c>
      <c r="B477" t="s">
        <v>1918</v>
      </c>
      <c r="C477">
        <v>4</v>
      </c>
      <c r="E477">
        <v>54480.62</v>
      </c>
      <c r="G477">
        <v>0.21</v>
      </c>
      <c r="I477" t="s">
        <v>1708</v>
      </c>
      <c r="J477" t="s">
        <v>1709</v>
      </c>
    </row>
    <row r="478" spans="1:10">
      <c r="A478" t="s">
        <v>1999</v>
      </c>
      <c r="B478" t="s">
        <v>1918</v>
      </c>
      <c r="C478">
        <v>3</v>
      </c>
      <c r="E478">
        <v>54480.62</v>
      </c>
      <c r="G478">
        <v>0.21</v>
      </c>
      <c r="I478" t="s">
        <v>1708</v>
      </c>
      <c r="J478" t="s">
        <v>1709</v>
      </c>
    </row>
    <row r="479" spans="1:10">
      <c r="A479" t="s">
        <v>2000</v>
      </c>
      <c r="B479" t="s">
        <v>1918</v>
      </c>
      <c r="C479">
        <v>2</v>
      </c>
      <c r="E479">
        <v>54485.37</v>
      </c>
      <c r="G479">
        <v>0.21</v>
      </c>
      <c r="I479" t="s">
        <v>1708</v>
      </c>
      <c r="J479" t="s">
        <v>1709</v>
      </c>
    </row>
    <row r="480" spans="1:10">
      <c r="A480" t="s">
        <v>2000</v>
      </c>
      <c r="B480" t="s">
        <v>1918</v>
      </c>
      <c r="C480">
        <v>4</v>
      </c>
      <c r="E480">
        <v>54485.37</v>
      </c>
      <c r="G480">
        <v>0.21</v>
      </c>
      <c r="I480" t="s">
        <v>1708</v>
      </c>
      <c r="J480" t="s">
        <v>1709</v>
      </c>
    </row>
    <row r="481" spans="1:10">
      <c r="A481" t="s">
        <v>2000</v>
      </c>
      <c r="B481" t="s">
        <v>1918</v>
      </c>
      <c r="C481">
        <v>3</v>
      </c>
      <c r="E481">
        <v>54485.37</v>
      </c>
      <c r="G481">
        <v>0.21</v>
      </c>
      <c r="I481" t="s">
        <v>1708</v>
      </c>
      <c r="J481" t="s">
        <v>1709</v>
      </c>
    </row>
    <row r="482" spans="1:10">
      <c r="A482" t="s">
        <v>2001</v>
      </c>
      <c r="B482" t="s">
        <v>1918</v>
      </c>
      <c r="C482">
        <v>2</v>
      </c>
      <c r="E482">
        <v>54491.22</v>
      </c>
      <c r="G482">
        <v>0.21</v>
      </c>
      <c r="I482" t="s">
        <v>1708</v>
      </c>
      <c r="J482" t="s">
        <v>1709</v>
      </c>
    </row>
    <row r="483" spans="1:10">
      <c r="A483" t="s">
        <v>2001</v>
      </c>
      <c r="B483" t="s">
        <v>1918</v>
      </c>
      <c r="C483">
        <v>4</v>
      </c>
      <c r="E483">
        <v>54491.22</v>
      </c>
      <c r="G483">
        <v>0.21</v>
      </c>
      <c r="I483" t="s">
        <v>1708</v>
      </c>
      <c r="J483" t="s">
        <v>1709</v>
      </c>
    </row>
    <row r="484" spans="1:10">
      <c r="A484" t="s">
        <v>2001</v>
      </c>
      <c r="B484" t="s">
        <v>1918</v>
      </c>
      <c r="C484">
        <v>3</v>
      </c>
      <c r="E484">
        <v>54491.22</v>
      </c>
      <c r="G484">
        <v>0.21</v>
      </c>
      <c r="I484" t="s">
        <v>1708</v>
      </c>
      <c r="J484" t="s">
        <v>1709</v>
      </c>
    </row>
    <row r="485" spans="1:10">
      <c r="A485" t="s">
        <v>2002</v>
      </c>
      <c r="B485" t="s">
        <v>202</v>
      </c>
      <c r="C485" t="s">
        <v>203</v>
      </c>
      <c r="E485">
        <v>54575.6</v>
      </c>
      <c r="G485">
        <v>0.3</v>
      </c>
      <c r="I485" t="s">
        <v>1708</v>
      </c>
      <c r="J485" t="s">
        <v>2003</v>
      </c>
    </row>
    <row r="486" spans="1:10">
      <c r="A486" t="s">
        <v>1826</v>
      </c>
      <c r="B486" t="s">
        <v>2004</v>
      </c>
      <c r="C486">
        <v>0</v>
      </c>
      <c r="E486">
        <v>54646.13</v>
      </c>
      <c r="G486">
        <v>0.03</v>
      </c>
      <c r="I486" t="s">
        <v>1708</v>
      </c>
      <c r="J486" t="s">
        <v>1709</v>
      </c>
    </row>
    <row r="487" spans="1:10">
      <c r="A487" t="s">
        <v>1826</v>
      </c>
      <c r="B487" t="s">
        <v>2004</v>
      </c>
      <c r="C487">
        <v>1</v>
      </c>
      <c r="E487">
        <v>54671.754000000001</v>
      </c>
      <c r="G487">
        <v>1.2E-2</v>
      </c>
      <c r="I487" t="s">
        <v>1708</v>
      </c>
      <c r="J487" t="s">
        <v>1709</v>
      </c>
    </row>
    <row r="488" spans="1:10">
      <c r="A488" t="s">
        <v>1826</v>
      </c>
      <c r="B488" t="s">
        <v>2004</v>
      </c>
      <c r="C488">
        <v>2</v>
      </c>
      <c r="E488">
        <v>54818.478999999999</v>
      </c>
      <c r="G488">
        <v>6.0000000000000001E-3</v>
      </c>
      <c r="I488" t="s">
        <v>1708</v>
      </c>
      <c r="J488" t="s">
        <v>1709</v>
      </c>
    </row>
    <row r="489" spans="1:10">
      <c r="A489" t="s">
        <v>1826</v>
      </c>
      <c r="B489" t="s">
        <v>2004</v>
      </c>
      <c r="C489">
        <v>3</v>
      </c>
      <c r="E489">
        <v>54986.82</v>
      </c>
      <c r="G489">
        <v>0.03</v>
      </c>
      <c r="I489" t="s">
        <v>1708</v>
      </c>
      <c r="J489" t="s">
        <v>1709</v>
      </c>
    </row>
    <row r="490" spans="1:10">
      <c r="A490" t="s">
        <v>1826</v>
      </c>
      <c r="B490" t="s">
        <v>2004</v>
      </c>
      <c r="C490">
        <v>4</v>
      </c>
      <c r="E490">
        <v>55209.07</v>
      </c>
      <c r="G490">
        <v>0.06</v>
      </c>
      <c r="I490" t="s">
        <v>1708</v>
      </c>
      <c r="J490" t="s">
        <v>1709</v>
      </c>
    </row>
    <row r="491" spans="1:10">
      <c r="A491" t="s">
        <v>2005</v>
      </c>
      <c r="B491" t="s">
        <v>2006</v>
      </c>
      <c r="C491">
        <v>4</v>
      </c>
      <c r="E491">
        <v>54736.474000000002</v>
      </c>
      <c r="G491">
        <v>0.03</v>
      </c>
      <c r="I491" t="s">
        <v>2007</v>
      </c>
      <c r="J491" t="s">
        <v>1705</v>
      </c>
    </row>
    <row r="492" spans="1:10">
      <c r="A492" t="s">
        <v>2005</v>
      </c>
      <c r="B492" t="s">
        <v>2006</v>
      </c>
      <c r="C492">
        <v>5</v>
      </c>
      <c r="E492">
        <v>54799.091</v>
      </c>
      <c r="G492">
        <v>1.2E-2</v>
      </c>
      <c r="I492" t="s">
        <v>2008</v>
      </c>
      <c r="J492" t="s">
        <v>1705</v>
      </c>
    </row>
    <row r="493" spans="1:10">
      <c r="A493" t="s">
        <v>2005</v>
      </c>
      <c r="B493" t="s">
        <v>2006</v>
      </c>
      <c r="C493">
        <v>6</v>
      </c>
      <c r="E493">
        <v>54886.749000000003</v>
      </c>
      <c r="G493">
        <v>2E-3</v>
      </c>
      <c r="I493" t="s">
        <v>2009</v>
      </c>
      <c r="J493" t="s">
        <v>1705</v>
      </c>
    </row>
    <row r="494" spans="1:10">
      <c r="A494" t="s">
        <v>1940</v>
      </c>
      <c r="B494" t="s">
        <v>2010</v>
      </c>
      <c r="C494">
        <v>6</v>
      </c>
      <c r="E494">
        <v>54800.162300000004</v>
      </c>
      <c r="G494">
        <v>3.0000000000000001E-3</v>
      </c>
      <c r="I494" t="s">
        <v>2011</v>
      </c>
      <c r="J494" t="s">
        <v>1705</v>
      </c>
    </row>
    <row r="495" spans="1:10">
      <c r="A495" t="s">
        <v>1826</v>
      </c>
      <c r="B495" t="s">
        <v>159</v>
      </c>
      <c r="C495">
        <v>1</v>
      </c>
      <c r="E495">
        <v>54804.63</v>
      </c>
      <c r="G495">
        <v>0.05</v>
      </c>
      <c r="I495" t="s">
        <v>1708</v>
      </c>
      <c r="J495" t="s">
        <v>1709</v>
      </c>
    </row>
    <row r="496" spans="1:10">
      <c r="A496" t="s">
        <v>1826</v>
      </c>
      <c r="B496" t="s">
        <v>159</v>
      </c>
      <c r="C496">
        <v>2</v>
      </c>
      <c r="E496">
        <v>54974.565999999999</v>
      </c>
      <c r="G496">
        <v>8.9999999999999993E-3</v>
      </c>
      <c r="I496" t="s">
        <v>1708</v>
      </c>
      <c r="J496" t="s">
        <v>1709</v>
      </c>
    </row>
    <row r="497" spans="1:10">
      <c r="A497" t="s">
        <v>1826</v>
      </c>
      <c r="B497" t="s">
        <v>159</v>
      </c>
      <c r="C497">
        <v>3</v>
      </c>
      <c r="E497">
        <v>55204.79</v>
      </c>
      <c r="G497">
        <v>2.1999999999999999E-2</v>
      </c>
      <c r="I497" t="s">
        <v>1708</v>
      </c>
      <c r="J497" t="s">
        <v>1709</v>
      </c>
    </row>
    <row r="498" spans="1:10">
      <c r="A498" t="s">
        <v>2012</v>
      </c>
      <c r="B498" t="s">
        <v>2013</v>
      </c>
      <c r="C498">
        <v>4</v>
      </c>
      <c r="E498">
        <v>54810.851999999999</v>
      </c>
      <c r="G498">
        <v>5.0000000000000001E-3</v>
      </c>
      <c r="I498" t="s">
        <v>1708</v>
      </c>
      <c r="J498" t="s">
        <v>1709</v>
      </c>
    </row>
    <row r="499" spans="1:10">
      <c r="A499" t="s">
        <v>2012</v>
      </c>
      <c r="B499" t="s">
        <v>2013</v>
      </c>
      <c r="C499">
        <v>6</v>
      </c>
      <c r="E499">
        <v>54866.468399999998</v>
      </c>
      <c r="G499">
        <v>2E-3</v>
      </c>
      <c r="I499" t="s">
        <v>1708</v>
      </c>
      <c r="J499" t="s">
        <v>1709</v>
      </c>
    </row>
    <row r="500" spans="1:10">
      <c r="A500" t="s">
        <v>2012</v>
      </c>
      <c r="B500" t="s">
        <v>2013</v>
      </c>
      <c r="C500">
        <v>5</v>
      </c>
      <c r="E500">
        <v>54929.66</v>
      </c>
      <c r="G500">
        <v>0.03</v>
      </c>
      <c r="I500" t="s">
        <v>1708</v>
      </c>
      <c r="J500" t="s">
        <v>1709</v>
      </c>
    </row>
    <row r="501" spans="1:10">
      <c r="A501" t="s">
        <v>1936</v>
      </c>
      <c r="B501" t="s">
        <v>87</v>
      </c>
      <c r="C501">
        <v>1</v>
      </c>
      <c r="E501">
        <v>54956.44</v>
      </c>
      <c r="G501">
        <v>0.08</v>
      </c>
      <c r="I501" t="s">
        <v>2014</v>
      </c>
      <c r="J501" t="s">
        <v>1705</v>
      </c>
    </row>
    <row r="502" spans="1:10">
      <c r="A502" t="s">
        <v>1936</v>
      </c>
      <c r="B502" t="s">
        <v>87</v>
      </c>
      <c r="C502">
        <v>2</v>
      </c>
      <c r="E502">
        <v>55152.59</v>
      </c>
      <c r="G502">
        <v>0.11</v>
      </c>
      <c r="I502" t="s">
        <v>2015</v>
      </c>
      <c r="J502" t="s">
        <v>1705</v>
      </c>
    </row>
    <row r="503" spans="1:10">
      <c r="A503" t="s">
        <v>1936</v>
      </c>
      <c r="B503" t="s">
        <v>87</v>
      </c>
      <c r="C503">
        <v>3</v>
      </c>
      <c r="E503">
        <v>55451.67</v>
      </c>
      <c r="G503">
        <v>0.1</v>
      </c>
      <c r="I503" t="s">
        <v>2016</v>
      </c>
      <c r="J503" t="s">
        <v>1705</v>
      </c>
    </row>
    <row r="504" spans="1:10">
      <c r="A504" t="s">
        <v>1981</v>
      </c>
      <c r="B504" t="s">
        <v>2017</v>
      </c>
      <c r="C504">
        <v>7</v>
      </c>
      <c r="E504">
        <v>54970.178</v>
      </c>
      <c r="G504">
        <v>3.0000000000000001E-3</v>
      </c>
      <c r="I504" t="s">
        <v>2018</v>
      </c>
      <c r="J504" t="s">
        <v>1705</v>
      </c>
    </row>
    <row r="505" spans="1:10">
      <c r="A505" t="s">
        <v>2019</v>
      </c>
      <c r="B505" t="s">
        <v>879</v>
      </c>
      <c r="C505">
        <v>2</v>
      </c>
      <c r="E505">
        <v>54992.79</v>
      </c>
      <c r="G505">
        <v>0.04</v>
      </c>
      <c r="I505" t="s">
        <v>2020</v>
      </c>
      <c r="J505" t="s">
        <v>1705</v>
      </c>
    </row>
    <row r="506" spans="1:10">
      <c r="A506" t="s">
        <v>2019</v>
      </c>
      <c r="B506" t="s">
        <v>879</v>
      </c>
      <c r="C506">
        <v>3</v>
      </c>
      <c r="E506">
        <v>55101.82</v>
      </c>
      <c r="G506">
        <v>0.02</v>
      </c>
      <c r="I506" t="s">
        <v>2021</v>
      </c>
      <c r="J506" t="s">
        <v>1705</v>
      </c>
    </row>
    <row r="507" spans="1:10">
      <c r="A507" t="s">
        <v>2019</v>
      </c>
      <c r="B507" t="s">
        <v>879</v>
      </c>
      <c r="C507">
        <v>4</v>
      </c>
      <c r="E507">
        <v>55207.271000000001</v>
      </c>
      <c r="G507">
        <v>4.0000000000000001E-3</v>
      </c>
      <c r="I507" t="s">
        <v>2022</v>
      </c>
      <c r="J507" t="s">
        <v>1705</v>
      </c>
    </row>
    <row r="508" spans="1:10">
      <c r="A508" t="s">
        <v>2012</v>
      </c>
      <c r="B508" t="s">
        <v>910</v>
      </c>
      <c r="C508">
        <v>4</v>
      </c>
      <c r="E508">
        <v>55120.646000000001</v>
      </c>
      <c r="G508">
        <v>4.0000000000000001E-3</v>
      </c>
      <c r="I508" t="s">
        <v>1708</v>
      </c>
      <c r="J508" t="s">
        <v>1709</v>
      </c>
    </row>
    <row r="509" spans="1:10">
      <c r="A509" t="s">
        <v>2012</v>
      </c>
      <c r="B509" t="s">
        <v>910</v>
      </c>
      <c r="C509">
        <v>3</v>
      </c>
      <c r="E509">
        <v>55352.6</v>
      </c>
      <c r="G509">
        <v>0.05</v>
      </c>
      <c r="I509" t="s">
        <v>1708</v>
      </c>
      <c r="J509" t="s">
        <v>1709</v>
      </c>
    </row>
    <row r="510" spans="1:10">
      <c r="A510" t="s">
        <v>2012</v>
      </c>
      <c r="B510" t="s">
        <v>910</v>
      </c>
      <c r="C510">
        <v>2</v>
      </c>
      <c r="E510">
        <v>55473.599999999999</v>
      </c>
      <c r="G510">
        <v>0.03</v>
      </c>
      <c r="I510" t="s">
        <v>1708</v>
      </c>
      <c r="J510" t="s">
        <v>1919</v>
      </c>
    </row>
    <row r="511" spans="1:10">
      <c r="A511" t="s">
        <v>1981</v>
      </c>
      <c r="B511" t="s">
        <v>2023</v>
      </c>
      <c r="C511">
        <v>6</v>
      </c>
      <c r="E511">
        <v>55516.561999999998</v>
      </c>
      <c r="G511">
        <v>3.0000000000000001E-3</v>
      </c>
      <c r="I511" t="s">
        <v>2024</v>
      </c>
      <c r="J511" t="s">
        <v>1705</v>
      </c>
    </row>
    <row r="512" spans="1:10">
      <c r="A512" t="s">
        <v>1981</v>
      </c>
      <c r="B512" t="s">
        <v>2025</v>
      </c>
      <c r="C512">
        <v>5</v>
      </c>
      <c r="E512">
        <v>55686.334000000003</v>
      </c>
      <c r="G512">
        <v>3.0000000000000001E-3</v>
      </c>
      <c r="I512" t="s">
        <v>2026</v>
      </c>
      <c r="J512" t="s">
        <v>1705</v>
      </c>
    </row>
    <row r="513" spans="1:10">
      <c r="A513" t="s">
        <v>1981</v>
      </c>
      <c r="B513" t="s">
        <v>2025</v>
      </c>
      <c r="C513">
        <v>6</v>
      </c>
      <c r="E513">
        <v>55741.042000000001</v>
      </c>
      <c r="G513">
        <v>3.0000000000000001E-3</v>
      </c>
      <c r="I513" t="s">
        <v>2027</v>
      </c>
      <c r="J513" t="s">
        <v>1705</v>
      </c>
    </row>
    <row r="514" spans="1:10">
      <c r="A514" t="s">
        <v>1981</v>
      </c>
      <c r="B514" t="s">
        <v>2025</v>
      </c>
      <c r="C514">
        <v>7</v>
      </c>
      <c r="E514">
        <v>55799.017</v>
      </c>
      <c r="G514">
        <v>4.0000000000000001E-3</v>
      </c>
      <c r="I514" t="s">
        <v>2028</v>
      </c>
      <c r="J514" t="s">
        <v>1705</v>
      </c>
    </row>
    <row r="515" spans="1:10">
      <c r="A515" t="s">
        <v>1940</v>
      </c>
      <c r="B515" t="s">
        <v>2029</v>
      </c>
      <c r="C515">
        <v>5</v>
      </c>
      <c r="E515">
        <v>55874.838000000003</v>
      </c>
      <c r="G515">
        <v>3.0000000000000001E-3</v>
      </c>
      <c r="I515" t="s">
        <v>2030</v>
      </c>
      <c r="J515" t="s">
        <v>1705</v>
      </c>
    </row>
    <row r="516" spans="1:10">
      <c r="A516" t="s">
        <v>1940</v>
      </c>
      <c r="B516" t="s">
        <v>2029</v>
      </c>
      <c r="C516">
        <v>6</v>
      </c>
      <c r="E516">
        <v>55907.998</v>
      </c>
      <c r="G516">
        <v>4.0000000000000001E-3</v>
      </c>
      <c r="I516" t="s">
        <v>2031</v>
      </c>
      <c r="J516" t="s">
        <v>1705</v>
      </c>
    </row>
    <row r="517" spans="1:10">
      <c r="A517" t="s">
        <v>1940</v>
      </c>
      <c r="B517" t="s">
        <v>2029</v>
      </c>
      <c r="C517">
        <v>4</v>
      </c>
      <c r="E517">
        <v>55915.49</v>
      </c>
      <c r="G517">
        <v>0.18</v>
      </c>
      <c r="I517" t="s">
        <v>2032</v>
      </c>
      <c r="J517" t="s">
        <v>1705</v>
      </c>
    </row>
    <row r="518" spans="1:10">
      <c r="A518" t="s">
        <v>1981</v>
      </c>
      <c r="B518" t="s">
        <v>96</v>
      </c>
      <c r="C518">
        <v>5</v>
      </c>
      <c r="E518">
        <v>55944.942000000003</v>
      </c>
      <c r="G518">
        <v>3.0000000000000001E-3</v>
      </c>
      <c r="I518" t="s">
        <v>2033</v>
      </c>
      <c r="J518" t="s">
        <v>1705</v>
      </c>
    </row>
    <row r="519" spans="1:10">
      <c r="A519" t="s">
        <v>2034</v>
      </c>
      <c r="B519" t="s">
        <v>2035</v>
      </c>
      <c r="C519">
        <v>2</v>
      </c>
      <c r="E519">
        <v>56155.105000000003</v>
      </c>
      <c r="G519">
        <v>5.0000000000000001E-3</v>
      </c>
      <c r="I519" t="s">
        <v>2036</v>
      </c>
      <c r="J519" t="s">
        <v>1705</v>
      </c>
    </row>
    <row r="520" spans="1:10">
      <c r="A520" t="s">
        <v>2034</v>
      </c>
      <c r="B520" t="s">
        <v>2035</v>
      </c>
      <c r="C520">
        <v>3</v>
      </c>
      <c r="E520">
        <v>56209.743000000002</v>
      </c>
      <c r="G520">
        <v>6.0000000000000001E-3</v>
      </c>
      <c r="I520" t="s">
        <v>2037</v>
      </c>
      <c r="J520" t="s">
        <v>1705</v>
      </c>
    </row>
    <row r="521" spans="1:10">
      <c r="A521" t="s">
        <v>2034</v>
      </c>
      <c r="B521" t="s">
        <v>2035</v>
      </c>
      <c r="C521">
        <v>4</v>
      </c>
      <c r="E521">
        <v>56279.498</v>
      </c>
      <c r="G521">
        <v>5.0000000000000001E-3</v>
      </c>
      <c r="I521" t="s">
        <v>2038</v>
      </c>
      <c r="J521" t="s">
        <v>1705</v>
      </c>
    </row>
    <row r="522" spans="1:10">
      <c r="A522" t="s">
        <v>2034</v>
      </c>
      <c r="B522" t="s">
        <v>2035</v>
      </c>
      <c r="C522">
        <v>5</v>
      </c>
      <c r="E522">
        <v>56361.817999999999</v>
      </c>
      <c r="G522">
        <v>4.0000000000000001E-3</v>
      </c>
      <c r="I522" t="s">
        <v>2039</v>
      </c>
      <c r="J522" t="s">
        <v>1705</v>
      </c>
    </row>
    <row r="523" spans="1:10">
      <c r="A523" t="s">
        <v>2034</v>
      </c>
      <c r="B523" t="s">
        <v>2035</v>
      </c>
      <c r="C523">
        <v>6</v>
      </c>
      <c r="E523">
        <v>56449.006999999998</v>
      </c>
      <c r="G523">
        <v>3.0000000000000001E-3</v>
      </c>
      <c r="I523" t="s">
        <v>2040</v>
      </c>
      <c r="J523" t="s">
        <v>1705</v>
      </c>
    </row>
    <row r="524" spans="1:10">
      <c r="A524" t="s">
        <v>1936</v>
      </c>
      <c r="B524" t="s">
        <v>941</v>
      </c>
      <c r="C524">
        <v>2</v>
      </c>
      <c r="E524">
        <v>56591.8</v>
      </c>
      <c r="G524">
        <v>0.11</v>
      </c>
      <c r="I524" t="s">
        <v>2041</v>
      </c>
      <c r="J524" t="s">
        <v>1705</v>
      </c>
    </row>
    <row r="525" spans="1:10">
      <c r="A525" t="s">
        <v>1936</v>
      </c>
      <c r="B525" t="s">
        <v>941</v>
      </c>
      <c r="C525">
        <v>1</v>
      </c>
      <c r="E525">
        <v>56722.5</v>
      </c>
      <c r="G525">
        <v>0.05</v>
      </c>
      <c r="I525" t="s">
        <v>2042</v>
      </c>
      <c r="J525" t="s">
        <v>1705</v>
      </c>
    </row>
    <row r="526" spans="1:10">
      <c r="A526" t="s">
        <v>1936</v>
      </c>
      <c r="B526" t="s">
        <v>941</v>
      </c>
      <c r="C526">
        <v>0</v>
      </c>
      <c r="E526">
        <v>56802.400000000001</v>
      </c>
      <c r="G526">
        <v>0.06</v>
      </c>
      <c r="I526" t="s">
        <v>2043</v>
      </c>
      <c r="J526" t="s">
        <v>1705</v>
      </c>
    </row>
    <row r="527" spans="1:10">
      <c r="A527" t="s">
        <v>2044</v>
      </c>
      <c r="B527" t="s">
        <v>293</v>
      </c>
      <c r="C527">
        <v>3</v>
      </c>
      <c r="E527">
        <v>56985.65</v>
      </c>
      <c r="G527">
        <v>0.04</v>
      </c>
      <c r="I527" t="s">
        <v>2045</v>
      </c>
      <c r="J527" t="s">
        <v>1705</v>
      </c>
    </row>
    <row r="528" spans="1:10">
      <c r="A528" t="s">
        <v>2044</v>
      </c>
      <c r="B528" t="s">
        <v>2046</v>
      </c>
      <c r="C528">
        <v>4</v>
      </c>
      <c r="E528">
        <v>57033.52</v>
      </c>
      <c r="G528">
        <v>0.04</v>
      </c>
      <c r="I528" t="s">
        <v>2047</v>
      </c>
      <c r="J528" t="s">
        <v>1705</v>
      </c>
    </row>
    <row r="529" spans="1:10">
      <c r="A529" t="s">
        <v>2044</v>
      </c>
      <c r="B529" t="s">
        <v>2046</v>
      </c>
      <c r="C529">
        <v>5</v>
      </c>
      <c r="E529">
        <v>57088.25</v>
      </c>
      <c r="G529">
        <v>0.04</v>
      </c>
      <c r="I529" t="s">
        <v>2048</v>
      </c>
      <c r="J529" t="s">
        <v>1705</v>
      </c>
    </row>
    <row r="530" spans="1:10">
      <c r="A530" t="s">
        <v>2049</v>
      </c>
      <c r="B530" t="s">
        <v>966</v>
      </c>
      <c r="C530">
        <v>2</v>
      </c>
      <c r="E530">
        <v>57087.644999999997</v>
      </c>
      <c r="G530">
        <v>2.1000000000000001E-2</v>
      </c>
      <c r="I530" t="s">
        <v>2050</v>
      </c>
      <c r="J530" t="s">
        <v>1705</v>
      </c>
    </row>
    <row r="531" spans="1:10">
      <c r="A531" t="s">
        <v>2049</v>
      </c>
      <c r="B531" t="s">
        <v>966</v>
      </c>
      <c r="C531">
        <v>1</v>
      </c>
      <c r="E531">
        <v>57132.47</v>
      </c>
      <c r="G531">
        <v>0.04</v>
      </c>
      <c r="I531" t="s">
        <v>2051</v>
      </c>
      <c r="J531" t="s">
        <v>1705</v>
      </c>
    </row>
    <row r="532" spans="1:10">
      <c r="A532" t="s">
        <v>2049</v>
      </c>
      <c r="B532" t="s">
        <v>966</v>
      </c>
      <c r="C532">
        <v>0</v>
      </c>
      <c r="E532">
        <v>57154.52</v>
      </c>
      <c r="G532">
        <v>0.15</v>
      </c>
      <c r="I532" t="s">
        <v>2052</v>
      </c>
      <c r="J532" t="s">
        <v>1705</v>
      </c>
    </row>
    <row r="533" spans="1:10">
      <c r="B533" t="s">
        <v>2053</v>
      </c>
      <c r="C533">
        <v>1</v>
      </c>
      <c r="E533">
        <v>57096.44</v>
      </c>
      <c r="G533">
        <v>0.16</v>
      </c>
      <c r="I533" t="s">
        <v>1708</v>
      </c>
      <c r="J533" t="s">
        <v>1709</v>
      </c>
    </row>
    <row r="534" spans="1:10">
      <c r="B534" t="s">
        <v>2053</v>
      </c>
      <c r="C534">
        <v>2</v>
      </c>
      <c r="E534">
        <v>57100.73</v>
      </c>
      <c r="G534">
        <v>7.0000000000000007E-2</v>
      </c>
      <c r="I534" t="s">
        <v>1708</v>
      </c>
      <c r="J534" t="s">
        <v>1709</v>
      </c>
    </row>
    <row r="535" spans="1:10">
      <c r="B535" t="s">
        <v>2053</v>
      </c>
      <c r="C535">
        <v>3</v>
      </c>
      <c r="E535">
        <v>57186.47</v>
      </c>
      <c r="G535">
        <v>0.1</v>
      </c>
      <c r="I535" t="s">
        <v>1708</v>
      </c>
      <c r="J535" t="s">
        <v>1709</v>
      </c>
    </row>
    <row r="536" spans="1:10">
      <c r="B536" t="s">
        <v>2053</v>
      </c>
      <c r="C536">
        <v>4</v>
      </c>
      <c r="E536">
        <v>57237.54</v>
      </c>
      <c r="G536">
        <v>0.14000000000000001</v>
      </c>
      <c r="I536" t="s">
        <v>1708</v>
      </c>
      <c r="J536" t="s">
        <v>1709</v>
      </c>
    </row>
    <row r="537" spans="1:10">
      <c r="B537" t="s">
        <v>2053</v>
      </c>
      <c r="C537">
        <v>5</v>
      </c>
      <c r="E537">
        <v>57327.51</v>
      </c>
      <c r="G537">
        <v>0.23</v>
      </c>
      <c r="I537" t="s">
        <v>1708</v>
      </c>
      <c r="J537" t="s">
        <v>1709</v>
      </c>
    </row>
    <row r="538" spans="1:10">
      <c r="B538" t="s">
        <v>291</v>
      </c>
      <c r="C538">
        <v>3</v>
      </c>
      <c r="E538">
        <v>57141.790999999997</v>
      </c>
      <c r="G538">
        <v>6.0000000000000001E-3</v>
      </c>
      <c r="I538" t="s">
        <v>1708</v>
      </c>
      <c r="J538" t="s">
        <v>1709</v>
      </c>
    </row>
    <row r="539" spans="1:10">
      <c r="A539" t="s">
        <v>1936</v>
      </c>
      <c r="B539" t="s">
        <v>917</v>
      </c>
      <c r="C539">
        <v>2</v>
      </c>
      <c r="E539">
        <v>57220.57</v>
      </c>
      <c r="G539">
        <v>1.0999999999999999E-2</v>
      </c>
      <c r="I539" t="s">
        <v>2054</v>
      </c>
      <c r="J539" t="s">
        <v>1705</v>
      </c>
    </row>
    <row r="540" spans="1:10">
      <c r="A540" t="s">
        <v>1936</v>
      </c>
      <c r="B540" t="s">
        <v>917</v>
      </c>
      <c r="C540">
        <v>3</v>
      </c>
      <c r="E540">
        <v>57276.362999999998</v>
      </c>
      <c r="G540">
        <v>6.0000000000000001E-3</v>
      </c>
      <c r="I540" t="s">
        <v>2055</v>
      </c>
      <c r="J540" t="s">
        <v>1705</v>
      </c>
    </row>
    <row r="541" spans="1:10">
      <c r="A541" t="s">
        <v>1936</v>
      </c>
      <c r="B541" t="s">
        <v>917</v>
      </c>
      <c r="C541">
        <v>4</v>
      </c>
      <c r="E541">
        <v>57335.373</v>
      </c>
      <c r="G541">
        <v>4.0000000000000001E-3</v>
      </c>
      <c r="I541" t="s">
        <v>2056</v>
      </c>
      <c r="J541" t="s">
        <v>1705</v>
      </c>
    </row>
    <row r="542" spans="1:10">
      <c r="A542" t="s">
        <v>2057</v>
      </c>
      <c r="B542" t="s">
        <v>134</v>
      </c>
      <c r="C542">
        <v>2</v>
      </c>
      <c r="E542">
        <v>57350.57</v>
      </c>
      <c r="G542">
        <v>0.08</v>
      </c>
      <c r="I542" t="s">
        <v>1708</v>
      </c>
      <c r="J542" t="s">
        <v>1709</v>
      </c>
    </row>
    <row r="543" spans="1:10">
      <c r="A543" t="s">
        <v>2057</v>
      </c>
      <c r="B543" t="s">
        <v>134</v>
      </c>
      <c r="C543">
        <v>3</v>
      </c>
      <c r="E543">
        <v>57361.252999999997</v>
      </c>
      <c r="G543">
        <v>0.03</v>
      </c>
      <c r="I543" t="s">
        <v>1708</v>
      </c>
      <c r="J543" t="s">
        <v>1709</v>
      </c>
    </row>
    <row r="544" spans="1:10">
      <c r="A544" t="s">
        <v>2057</v>
      </c>
      <c r="B544" t="s">
        <v>134</v>
      </c>
      <c r="C544">
        <v>4</v>
      </c>
      <c r="E544">
        <v>57372.69</v>
      </c>
      <c r="G544">
        <v>0.05</v>
      </c>
      <c r="I544" t="s">
        <v>1708</v>
      </c>
      <c r="J544" t="s">
        <v>1709</v>
      </c>
    </row>
    <row r="545" spans="1:10">
      <c r="A545" t="s">
        <v>2057</v>
      </c>
      <c r="B545" t="s">
        <v>134</v>
      </c>
      <c r="C545">
        <v>5</v>
      </c>
      <c r="E545">
        <v>57382.838000000003</v>
      </c>
      <c r="G545">
        <v>1.0999999999999999E-2</v>
      </c>
      <c r="I545" t="s">
        <v>1708</v>
      </c>
      <c r="J545" t="s">
        <v>1709</v>
      </c>
    </row>
    <row r="546" spans="1:10">
      <c r="A546" t="s">
        <v>2057</v>
      </c>
      <c r="B546" t="s">
        <v>134</v>
      </c>
      <c r="C546">
        <v>6</v>
      </c>
      <c r="E546">
        <v>57389.335800000001</v>
      </c>
      <c r="G546">
        <v>2E-3</v>
      </c>
      <c r="I546" t="s">
        <v>1708</v>
      </c>
      <c r="J546" t="s">
        <v>1709</v>
      </c>
    </row>
    <row r="547" spans="1:10">
      <c r="A547" t="s">
        <v>2058</v>
      </c>
      <c r="B547" t="s">
        <v>2059</v>
      </c>
      <c r="C547">
        <v>3</v>
      </c>
      <c r="E547">
        <v>57556.98</v>
      </c>
      <c r="G547">
        <v>0.03</v>
      </c>
      <c r="I547" t="s">
        <v>2060</v>
      </c>
      <c r="J547" t="s">
        <v>2061</v>
      </c>
    </row>
    <row r="548" spans="1:10">
      <c r="A548" t="s">
        <v>2058</v>
      </c>
      <c r="B548" t="s">
        <v>2059</v>
      </c>
      <c r="C548">
        <v>4</v>
      </c>
      <c r="E548">
        <v>57587.298999999999</v>
      </c>
      <c r="G548">
        <v>7.0000000000000001E-3</v>
      </c>
      <c r="I548" t="s">
        <v>2062</v>
      </c>
      <c r="J548" t="s">
        <v>1705</v>
      </c>
    </row>
    <row r="549" spans="1:10">
      <c r="A549" t="s">
        <v>2058</v>
      </c>
      <c r="B549" t="s">
        <v>2059</v>
      </c>
      <c r="C549">
        <v>5</v>
      </c>
      <c r="E549">
        <v>57702.256999999998</v>
      </c>
      <c r="G549">
        <v>5.0000000000000001E-3</v>
      </c>
      <c r="I549" t="s">
        <v>2063</v>
      </c>
      <c r="J549" t="s">
        <v>1705</v>
      </c>
    </row>
    <row r="550" spans="1:10">
      <c r="A550" t="s">
        <v>1963</v>
      </c>
      <c r="B550" t="s">
        <v>2064</v>
      </c>
      <c r="C550">
        <v>0</v>
      </c>
      <c r="E550">
        <v>57958.34</v>
      </c>
      <c r="G550">
        <v>0.14000000000000001</v>
      </c>
      <c r="I550" t="s">
        <v>1708</v>
      </c>
      <c r="J550" t="s">
        <v>1919</v>
      </c>
    </row>
    <row r="551" spans="1:10">
      <c r="A551" t="s">
        <v>1963</v>
      </c>
      <c r="B551" t="s">
        <v>2064</v>
      </c>
      <c r="C551">
        <v>1</v>
      </c>
      <c r="E551">
        <v>57995.065000000002</v>
      </c>
      <c r="G551">
        <v>1.4E-2</v>
      </c>
      <c r="I551" t="s">
        <v>1708</v>
      </c>
      <c r="J551" t="s">
        <v>1919</v>
      </c>
    </row>
    <row r="552" spans="1:10">
      <c r="A552" t="s">
        <v>1963</v>
      </c>
      <c r="B552" t="s">
        <v>2064</v>
      </c>
      <c r="C552">
        <v>2</v>
      </c>
      <c r="E552">
        <v>58063.875999999997</v>
      </c>
      <c r="G552">
        <v>8.0000000000000002E-3</v>
      </c>
      <c r="I552" t="s">
        <v>1708</v>
      </c>
      <c r="J552" t="s">
        <v>1709</v>
      </c>
    </row>
    <row r="553" spans="1:10">
      <c r="A553" t="s">
        <v>1963</v>
      </c>
      <c r="B553" t="s">
        <v>2064</v>
      </c>
      <c r="C553">
        <v>3</v>
      </c>
      <c r="E553">
        <v>58147.845000000001</v>
      </c>
      <c r="G553">
        <v>1.4999999999999999E-2</v>
      </c>
      <c r="I553" t="s">
        <v>1708</v>
      </c>
      <c r="J553" t="s">
        <v>1709</v>
      </c>
    </row>
    <row r="554" spans="1:10">
      <c r="A554" t="s">
        <v>1963</v>
      </c>
      <c r="B554" t="s">
        <v>2064</v>
      </c>
      <c r="C554">
        <v>4</v>
      </c>
      <c r="E554">
        <v>58292.54</v>
      </c>
      <c r="G554">
        <v>0.05</v>
      </c>
      <c r="I554" t="s">
        <v>1708</v>
      </c>
      <c r="J554" t="s">
        <v>1919</v>
      </c>
    </row>
    <row r="555" spans="1:10">
      <c r="B555" t="s">
        <v>136</v>
      </c>
      <c r="C555">
        <v>3</v>
      </c>
      <c r="E555">
        <v>57984.889000000003</v>
      </c>
      <c r="G555">
        <v>4.0000000000000001E-3</v>
      </c>
      <c r="I555" t="s">
        <v>1708</v>
      </c>
      <c r="J555" t="s">
        <v>1709</v>
      </c>
    </row>
    <row r="556" spans="1:10">
      <c r="B556" t="s">
        <v>136</v>
      </c>
      <c r="C556">
        <v>5</v>
      </c>
      <c r="E556">
        <v>57990.296000000002</v>
      </c>
      <c r="G556">
        <v>3.0000000000000001E-3</v>
      </c>
      <c r="I556" t="s">
        <v>1708</v>
      </c>
      <c r="J556" t="s">
        <v>1709</v>
      </c>
    </row>
    <row r="557" spans="1:10">
      <c r="B557" t="s">
        <v>136</v>
      </c>
      <c r="C557">
        <v>4</v>
      </c>
      <c r="E557">
        <v>57992.173000000003</v>
      </c>
      <c r="G557">
        <v>6.0000000000000001E-3</v>
      </c>
      <c r="I557" t="s">
        <v>1708</v>
      </c>
      <c r="J557" t="s">
        <v>1709</v>
      </c>
    </row>
    <row r="558" spans="1:10">
      <c r="A558" t="s">
        <v>2058</v>
      </c>
      <c r="B558" t="s">
        <v>956</v>
      </c>
      <c r="C558">
        <v>2</v>
      </c>
      <c r="E558">
        <v>58162.775999999998</v>
      </c>
      <c r="G558">
        <v>0.01</v>
      </c>
      <c r="I558" t="s">
        <v>2065</v>
      </c>
      <c r="J558" t="s">
        <v>1705</v>
      </c>
    </row>
    <row r="559" spans="1:10">
      <c r="A559" t="s">
        <v>2058</v>
      </c>
      <c r="B559" t="s">
        <v>956</v>
      </c>
      <c r="C559">
        <v>4</v>
      </c>
      <c r="E559">
        <v>58167.82</v>
      </c>
      <c r="G559">
        <v>0.05</v>
      </c>
      <c r="I559" t="s">
        <v>2066</v>
      </c>
      <c r="J559" t="s">
        <v>2061</v>
      </c>
    </row>
    <row r="560" spans="1:10">
      <c r="A560" t="s">
        <v>2058</v>
      </c>
      <c r="B560" t="s">
        <v>956</v>
      </c>
      <c r="C560">
        <v>3</v>
      </c>
      <c r="E560">
        <v>58202.6</v>
      </c>
      <c r="G560">
        <v>0.04</v>
      </c>
      <c r="I560" t="s">
        <v>2067</v>
      </c>
      <c r="J560" t="s">
        <v>1705</v>
      </c>
    </row>
    <row r="561" spans="1:10">
      <c r="A561" t="s">
        <v>2034</v>
      </c>
      <c r="B561" t="s">
        <v>94</v>
      </c>
      <c r="C561">
        <v>1</v>
      </c>
      <c r="E561">
        <v>58725.142</v>
      </c>
      <c r="G561">
        <v>6.0000000000000001E-3</v>
      </c>
      <c r="I561" t="s">
        <v>2068</v>
      </c>
      <c r="J561" t="s">
        <v>1705</v>
      </c>
    </row>
    <row r="562" spans="1:10">
      <c r="A562" t="s">
        <v>2034</v>
      </c>
      <c r="B562" t="s">
        <v>94</v>
      </c>
      <c r="C562">
        <v>2</v>
      </c>
      <c r="E562">
        <v>58860.160000000003</v>
      </c>
      <c r="G562">
        <v>0.06</v>
      </c>
      <c r="I562" t="s">
        <v>2069</v>
      </c>
      <c r="J562" t="s">
        <v>1705</v>
      </c>
    </row>
    <row r="563" spans="1:10">
      <c r="A563" t="s">
        <v>2034</v>
      </c>
      <c r="B563" t="s">
        <v>94</v>
      </c>
      <c r="C563">
        <v>3</v>
      </c>
      <c r="E563">
        <v>59122.01</v>
      </c>
      <c r="G563">
        <v>0.08</v>
      </c>
      <c r="I563" t="s">
        <v>2070</v>
      </c>
      <c r="J563" t="s">
        <v>1705</v>
      </c>
    </row>
    <row r="564" spans="1:10">
      <c r="A564" t="s">
        <v>2071</v>
      </c>
      <c r="B564" t="s">
        <v>2072</v>
      </c>
      <c r="C564">
        <v>4</v>
      </c>
      <c r="E564">
        <v>58728.247000000003</v>
      </c>
      <c r="G564">
        <v>3.0000000000000001E-3</v>
      </c>
      <c r="I564" t="s">
        <v>2073</v>
      </c>
      <c r="J564" t="s">
        <v>1705</v>
      </c>
    </row>
    <row r="565" spans="1:10">
      <c r="A565" t="s">
        <v>2071</v>
      </c>
      <c r="B565" t="s">
        <v>2072</v>
      </c>
      <c r="C565">
        <v>5</v>
      </c>
      <c r="E565">
        <v>58754.396000000001</v>
      </c>
      <c r="G565">
        <v>2E-3</v>
      </c>
      <c r="I565" t="s">
        <v>2074</v>
      </c>
      <c r="J565" t="s">
        <v>1705</v>
      </c>
    </row>
    <row r="566" spans="1:10">
      <c r="A566" t="s">
        <v>2071</v>
      </c>
      <c r="B566" t="s">
        <v>2072</v>
      </c>
      <c r="C566">
        <v>6</v>
      </c>
      <c r="E566">
        <v>58775.258999999998</v>
      </c>
      <c r="G566">
        <v>2E-3</v>
      </c>
      <c r="I566" t="s">
        <v>2075</v>
      </c>
      <c r="J566" t="s">
        <v>1705</v>
      </c>
    </row>
    <row r="567" spans="1:10">
      <c r="A567" t="s">
        <v>2076</v>
      </c>
      <c r="B567" t="s">
        <v>117</v>
      </c>
      <c r="C567">
        <v>2</v>
      </c>
      <c r="E567">
        <v>58771.89</v>
      </c>
      <c r="G567">
        <v>0.05</v>
      </c>
      <c r="I567" t="s">
        <v>1708</v>
      </c>
      <c r="J567" t="s">
        <v>1709</v>
      </c>
    </row>
    <row r="568" spans="1:10">
      <c r="A568" t="s">
        <v>2076</v>
      </c>
      <c r="B568" t="s">
        <v>117</v>
      </c>
      <c r="C568">
        <v>1</v>
      </c>
      <c r="E568">
        <v>58870.27</v>
      </c>
      <c r="G568">
        <v>7.0000000000000007E-2</v>
      </c>
      <c r="I568" t="s">
        <v>1708</v>
      </c>
      <c r="J568" t="s">
        <v>1709</v>
      </c>
    </row>
    <row r="569" spans="1:10">
      <c r="A569" t="s">
        <v>2076</v>
      </c>
      <c r="B569" t="s">
        <v>117</v>
      </c>
      <c r="C569">
        <v>3</v>
      </c>
      <c r="E569">
        <v>58923.98</v>
      </c>
      <c r="G569">
        <v>0.01</v>
      </c>
      <c r="I569" t="s">
        <v>1708</v>
      </c>
      <c r="J569" t="s">
        <v>1709</v>
      </c>
    </row>
    <row r="570" spans="1:10">
      <c r="A570" t="s">
        <v>2077</v>
      </c>
      <c r="B570" t="s">
        <v>2078</v>
      </c>
      <c r="C570">
        <v>2</v>
      </c>
      <c r="E570">
        <v>59173</v>
      </c>
      <c r="G570">
        <v>4</v>
      </c>
      <c r="I570">
        <v>60</v>
      </c>
      <c r="J570" t="s">
        <v>2079</v>
      </c>
    </row>
    <row r="571" spans="1:10">
      <c r="A571" t="s">
        <v>2077</v>
      </c>
      <c r="B571" t="s">
        <v>2078</v>
      </c>
      <c r="C571">
        <v>3</v>
      </c>
      <c r="E571">
        <v>59363</v>
      </c>
      <c r="G571">
        <v>4</v>
      </c>
      <c r="I571">
        <v>73</v>
      </c>
      <c r="J571" t="s">
        <v>2079</v>
      </c>
    </row>
    <row r="572" spans="1:10">
      <c r="A572" t="s">
        <v>2077</v>
      </c>
      <c r="B572" t="s">
        <v>2078</v>
      </c>
      <c r="C572">
        <v>4</v>
      </c>
      <c r="E572">
        <v>59590</v>
      </c>
      <c r="G572">
        <v>4</v>
      </c>
      <c r="I572">
        <v>83</v>
      </c>
      <c r="J572" t="s">
        <v>2079</v>
      </c>
    </row>
    <row r="573" spans="1:10">
      <c r="A573" t="s">
        <v>2077</v>
      </c>
      <c r="B573" t="s">
        <v>1918</v>
      </c>
      <c r="C573">
        <v>2</v>
      </c>
      <c r="E573">
        <v>59242</v>
      </c>
      <c r="G573">
        <v>4</v>
      </c>
      <c r="I573">
        <v>64</v>
      </c>
      <c r="J573" t="s">
        <v>2079</v>
      </c>
    </row>
    <row r="574" spans="1:10">
      <c r="A574" t="s">
        <v>2077</v>
      </c>
      <c r="B574" t="s">
        <v>1918</v>
      </c>
      <c r="C574">
        <v>3</v>
      </c>
      <c r="E574">
        <v>59394</v>
      </c>
      <c r="G574">
        <v>4</v>
      </c>
      <c r="I574">
        <v>59</v>
      </c>
      <c r="J574" t="s">
        <v>2079</v>
      </c>
    </row>
    <row r="575" spans="1:10">
      <c r="A575" t="s">
        <v>2077</v>
      </c>
      <c r="B575" t="s">
        <v>1918</v>
      </c>
      <c r="C575">
        <v>4</v>
      </c>
      <c r="E575">
        <v>59700</v>
      </c>
      <c r="G575">
        <v>4</v>
      </c>
      <c r="I575" t="s">
        <v>2080</v>
      </c>
      <c r="J575" t="s">
        <v>2079</v>
      </c>
    </row>
    <row r="576" spans="1:10">
      <c r="A576" t="s">
        <v>2044</v>
      </c>
      <c r="B576" t="s">
        <v>978</v>
      </c>
      <c r="C576">
        <v>2</v>
      </c>
      <c r="E576">
        <v>59357.745999999999</v>
      </c>
      <c r="G576">
        <v>0.01</v>
      </c>
      <c r="I576" t="s">
        <v>2081</v>
      </c>
      <c r="J576" t="s">
        <v>1705</v>
      </c>
    </row>
    <row r="577" spans="1:10">
      <c r="A577" t="s">
        <v>2044</v>
      </c>
      <c r="B577" t="s">
        <v>978</v>
      </c>
      <c r="C577">
        <v>3</v>
      </c>
      <c r="E577">
        <v>59416.921000000002</v>
      </c>
      <c r="G577">
        <v>5.0000000000000001E-3</v>
      </c>
      <c r="I577" t="s">
        <v>2082</v>
      </c>
      <c r="J577" t="s">
        <v>1705</v>
      </c>
    </row>
    <row r="578" spans="1:10">
      <c r="A578" t="s">
        <v>2044</v>
      </c>
      <c r="B578" t="s">
        <v>978</v>
      </c>
      <c r="C578">
        <v>4</v>
      </c>
      <c r="E578">
        <v>59487.536</v>
      </c>
      <c r="G578">
        <v>4.0000000000000001E-3</v>
      </c>
      <c r="I578" t="s">
        <v>2083</v>
      </c>
      <c r="J578" t="s">
        <v>1705</v>
      </c>
    </row>
    <row r="579" spans="1:10">
      <c r="A579" t="s">
        <v>2077</v>
      </c>
      <c r="B579" t="s">
        <v>2084</v>
      </c>
      <c r="C579">
        <v>2</v>
      </c>
      <c r="E579">
        <v>59538</v>
      </c>
      <c r="G579">
        <v>4</v>
      </c>
      <c r="I579">
        <v>77</v>
      </c>
      <c r="J579" t="s">
        <v>2079</v>
      </c>
    </row>
    <row r="580" spans="1:10">
      <c r="A580" t="s">
        <v>2077</v>
      </c>
      <c r="B580" t="s">
        <v>2084</v>
      </c>
      <c r="C580">
        <v>3</v>
      </c>
      <c r="E580">
        <v>59722</v>
      </c>
      <c r="G580">
        <v>4</v>
      </c>
      <c r="I580">
        <v>61</v>
      </c>
      <c r="J580" t="s">
        <v>2079</v>
      </c>
    </row>
    <row r="581" spans="1:10">
      <c r="A581" t="s">
        <v>2077</v>
      </c>
      <c r="B581" t="s">
        <v>2084</v>
      </c>
      <c r="C581">
        <v>4</v>
      </c>
      <c r="E581">
        <v>59854</v>
      </c>
      <c r="G581">
        <v>4</v>
      </c>
      <c r="I581">
        <v>59</v>
      </c>
      <c r="J581" t="s">
        <v>2079</v>
      </c>
    </row>
    <row r="582" spans="1:10">
      <c r="A582" t="s">
        <v>2005</v>
      </c>
      <c r="B582" t="s">
        <v>2085</v>
      </c>
      <c r="C582">
        <v>5</v>
      </c>
      <c r="E582">
        <v>59806.237999999998</v>
      </c>
      <c r="G582">
        <v>7.0000000000000001E-3</v>
      </c>
      <c r="I582" t="s">
        <v>2086</v>
      </c>
      <c r="J582" t="s">
        <v>1705</v>
      </c>
    </row>
    <row r="583" spans="1:10">
      <c r="A583" t="s">
        <v>2005</v>
      </c>
      <c r="B583" t="s">
        <v>2085</v>
      </c>
      <c r="C583">
        <v>6</v>
      </c>
      <c r="E583">
        <v>59884.123</v>
      </c>
      <c r="G583">
        <v>6.0000000000000001E-3</v>
      </c>
      <c r="I583" t="s">
        <v>2087</v>
      </c>
      <c r="J583" t="s">
        <v>1705</v>
      </c>
    </row>
    <row r="584" spans="1:10">
      <c r="A584" t="s">
        <v>2005</v>
      </c>
      <c r="B584" t="s">
        <v>2085</v>
      </c>
      <c r="C584">
        <v>7</v>
      </c>
      <c r="E584">
        <v>59957.423799999997</v>
      </c>
      <c r="G584">
        <v>2E-3</v>
      </c>
      <c r="I584" t="s">
        <v>2088</v>
      </c>
      <c r="J584" t="s">
        <v>1705</v>
      </c>
    </row>
    <row r="585" spans="1:10">
      <c r="A585" t="s">
        <v>2077</v>
      </c>
      <c r="B585" t="s">
        <v>312</v>
      </c>
      <c r="C585">
        <v>2</v>
      </c>
      <c r="E585">
        <v>59892</v>
      </c>
      <c r="G585">
        <v>4</v>
      </c>
      <c r="I585">
        <v>59</v>
      </c>
      <c r="J585" t="s">
        <v>2079</v>
      </c>
    </row>
    <row r="586" spans="1:10">
      <c r="A586" t="s">
        <v>2077</v>
      </c>
      <c r="B586" t="s">
        <v>312</v>
      </c>
      <c r="C586">
        <v>3</v>
      </c>
      <c r="E586">
        <v>60057</v>
      </c>
      <c r="G586">
        <v>4</v>
      </c>
      <c r="I586">
        <v>67</v>
      </c>
      <c r="J586" t="s">
        <v>2079</v>
      </c>
    </row>
    <row r="587" spans="1:10">
      <c r="A587" t="s">
        <v>2089</v>
      </c>
      <c r="B587" t="s">
        <v>125</v>
      </c>
      <c r="C587">
        <v>5</v>
      </c>
      <c r="E587">
        <v>60005.491000000002</v>
      </c>
      <c r="G587">
        <v>2.2000000000000001E-3</v>
      </c>
      <c r="I587" t="s">
        <v>2090</v>
      </c>
      <c r="J587" t="s">
        <v>1705</v>
      </c>
    </row>
    <row r="588" spans="1:10">
      <c r="A588" t="s">
        <v>2091</v>
      </c>
      <c r="B588" t="s">
        <v>948</v>
      </c>
      <c r="C588">
        <v>1</v>
      </c>
      <c r="E588">
        <v>60084.14</v>
      </c>
      <c r="G588">
        <v>0.13</v>
      </c>
      <c r="I588" t="s">
        <v>2092</v>
      </c>
      <c r="J588" t="s">
        <v>1705</v>
      </c>
    </row>
    <row r="589" spans="1:10">
      <c r="B589" t="s">
        <v>2093</v>
      </c>
      <c r="C589">
        <v>0</v>
      </c>
      <c r="E589">
        <v>60238</v>
      </c>
      <c r="G589">
        <v>0.11</v>
      </c>
      <c r="I589" t="s">
        <v>1708</v>
      </c>
      <c r="J589" t="s">
        <v>1919</v>
      </c>
    </row>
    <row r="590" spans="1:10">
      <c r="B590" t="s">
        <v>2093</v>
      </c>
      <c r="C590">
        <v>1</v>
      </c>
      <c r="E590">
        <v>60286.61</v>
      </c>
      <c r="G590">
        <v>0.11</v>
      </c>
      <c r="I590" t="s">
        <v>1708</v>
      </c>
      <c r="J590" t="s">
        <v>1919</v>
      </c>
    </row>
    <row r="591" spans="1:10">
      <c r="B591" t="s">
        <v>2093</v>
      </c>
      <c r="C591">
        <v>2</v>
      </c>
      <c r="E591">
        <v>60372.84</v>
      </c>
      <c r="G591">
        <v>0.1</v>
      </c>
      <c r="I591" t="s">
        <v>1708</v>
      </c>
      <c r="J591" t="s">
        <v>1919</v>
      </c>
    </row>
    <row r="592" spans="1:10">
      <c r="B592" t="s">
        <v>2093</v>
      </c>
      <c r="C592">
        <v>3</v>
      </c>
      <c r="E592">
        <v>60491.133999999998</v>
      </c>
      <c r="G592">
        <v>3.0000000000000001E-3</v>
      </c>
      <c r="I592" t="s">
        <v>1708</v>
      </c>
      <c r="J592" t="s">
        <v>1919</v>
      </c>
    </row>
    <row r="593" spans="1:10">
      <c r="B593" t="s">
        <v>2093</v>
      </c>
      <c r="C593">
        <v>4</v>
      </c>
      <c r="E593">
        <v>60625.627999999997</v>
      </c>
      <c r="G593">
        <v>3.0000000000000001E-3</v>
      </c>
      <c r="I593" t="s">
        <v>1708</v>
      </c>
      <c r="J593" t="s">
        <v>1709</v>
      </c>
    </row>
    <row r="594" spans="1:10">
      <c r="B594" t="s">
        <v>2094</v>
      </c>
      <c r="C594">
        <v>2</v>
      </c>
      <c r="E594">
        <v>60252.961000000003</v>
      </c>
      <c r="G594">
        <v>6.0000000000000001E-3</v>
      </c>
      <c r="I594" t="s">
        <v>1708</v>
      </c>
      <c r="J594" t="s">
        <v>1709</v>
      </c>
    </row>
    <row r="595" spans="1:10">
      <c r="B595" t="s">
        <v>2094</v>
      </c>
      <c r="C595">
        <v>3</v>
      </c>
      <c r="E595">
        <v>60325.858999999997</v>
      </c>
      <c r="G595">
        <v>2.1999999999999999E-2</v>
      </c>
      <c r="I595" t="s">
        <v>1708</v>
      </c>
      <c r="J595" t="s">
        <v>1709</v>
      </c>
    </row>
    <row r="596" spans="1:10">
      <c r="B596" t="s">
        <v>2094</v>
      </c>
      <c r="C596">
        <v>4</v>
      </c>
      <c r="E596">
        <v>60367.23</v>
      </c>
      <c r="G596">
        <v>8.9999999999999993E-3</v>
      </c>
      <c r="I596" t="s">
        <v>1708</v>
      </c>
      <c r="J596" t="s">
        <v>1709</v>
      </c>
    </row>
    <row r="597" spans="1:10">
      <c r="A597" t="s">
        <v>2071</v>
      </c>
      <c r="B597" t="s">
        <v>2095</v>
      </c>
      <c r="C597">
        <v>5</v>
      </c>
      <c r="E597">
        <v>60427.591999999997</v>
      </c>
      <c r="G597">
        <v>3.0000000000000001E-3</v>
      </c>
      <c r="I597" t="s">
        <v>2096</v>
      </c>
      <c r="J597" t="s">
        <v>1705</v>
      </c>
    </row>
    <row r="598" spans="1:10">
      <c r="A598" t="s">
        <v>2071</v>
      </c>
      <c r="B598" t="s">
        <v>2095</v>
      </c>
      <c r="C598">
        <v>6</v>
      </c>
      <c r="E598">
        <v>60527.387000000002</v>
      </c>
      <c r="G598">
        <v>3.0000000000000001E-3</v>
      </c>
      <c r="I598" t="s">
        <v>2097</v>
      </c>
      <c r="J598" t="s">
        <v>1705</v>
      </c>
    </row>
    <row r="599" spans="1:10">
      <c r="A599" t="s">
        <v>2071</v>
      </c>
      <c r="B599" t="s">
        <v>2095</v>
      </c>
      <c r="C599">
        <v>7</v>
      </c>
      <c r="E599">
        <v>60656.84</v>
      </c>
      <c r="G599">
        <v>3.0000000000000001E-3</v>
      </c>
      <c r="I599" t="s">
        <v>2098</v>
      </c>
      <c r="J599" t="s">
        <v>1705</v>
      </c>
    </row>
    <row r="600" spans="1:10">
      <c r="A600" t="s">
        <v>2071</v>
      </c>
      <c r="B600" t="s">
        <v>2099</v>
      </c>
      <c r="C600">
        <v>6</v>
      </c>
      <c r="E600">
        <v>60441.31</v>
      </c>
      <c r="G600">
        <v>3.0000000000000001E-3</v>
      </c>
      <c r="I600" t="s">
        <v>2100</v>
      </c>
      <c r="J600" t="s">
        <v>1705</v>
      </c>
    </row>
    <row r="601" spans="1:10">
      <c r="A601" t="s">
        <v>2089</v>
      </c>
      <c r="B601" t="s">
        <v>2101</v>
      </c>
      <c r="C601">
        <v>5</v>
      </c>
      <c r="E601">
        <v>60467.917999999998</v>
      </c>
      <c r="G601">
        <v>1.6E-2</v>
      </c>
      <c r="I601" t="s">
        <v>2102</v>
      </c>
      <c r="J601" t="s">
        <v>1705</v>
      </c>
    </row>
    <row r="602" spans="1:10">
      <c r="A602" t="s">
        <v>2089</v>
      </c>
      <c r="B602" t="s">
        <v>2101</v>
      </c>
      <c r="C602">
        <v>4</v>
      </c>
      <c r="E602">
        <v>60503.911</v>
      </c>
      <c r="G602">
        <v>8.9999999999999993E-3</v>
      </c>
      <c r="I602" t="s">
        <v>2103</v>
      </c>
      <c r="J602" t="s">
        <v>1705</v>
      </c>
    </row>
    <row r="603" spans="1:10">
      <c r="A603" t="s">
        <v>2089</v>
      </c>
      <c r="B603" t="s">
        <v>2101</v>
      </c>
      <c r="C603">
        <v>3</v>
      </c>
      <c r="E603">
        <v>60518.074000000001</v>
      </c>
      <c r="G603">
        <v>0.01</v>
      </c>
      <c r="I603" t="s">
        <v>2104</v>
      </c>
      <c r="J603" t="s">
        <v>1705</v>
      </c>
    </row>
    <row r="604" spans="1:10">
      <c r="A604" t="s">
        <v>2034</v>
      </c>
      <c r="B604" t="s">
        <v>140</v>
      </c>
      <c r="C604">
        <v>3</v>
      </c>
      <c r="E604">
        <v>60615.665999999997</v>
      </c>
      <c r="G604">
        <v>1.2999999999999999E-2</v>
      </c>
      <c r="I604" t="s">
        <v>2105</v>
      </c>
      <c r="J604" t="s">
        <v>1705</v>
      </c>
    </row>
    <row r="605" spans="1:10">
      <c r="A605" t="s">
        <v>2019</v>
      </c>
      <c r="B605" t="s">
        <v>140</v>
      </c>
      <c r="C605">
        <v>2</v>
      </c>
      <c r="E605">
        <v>60629.84</v>
      </c>
      <c r="G605">
        <v>0.05</v>
      </c>
      <c r="I605" t="s">
        <v>2106</v>
      </c>
      <c r="J605" t="s">
        <v>2061</v>
      </c>
    </row>
    <row r="606" spans="1:10">
      <c r="A606" t="s">
        <v>2019</v>
      </c>
      <c r="B606" t="s">
        <v>140</v>
      </c>
      <c r="C606">
        <v>1</v>
      </c>
      <c r="E606">
        <v>60678.06</v>
      </c>
      <c r="G606">
        <v>0.05</v>
      </c>
      <c r="I606" t="s">
        <v>2107</v>
      </c>
      <c r="J606" t="s">
        <v>2061</v>
      </c>
    </row>
    <row r="607" spans="1:10">
      <c r="B607" t="s">
        <v>2108</v>
      </c>
      <c r="C607">
        <v>1</v>
      </c>
      <c r="E607">
        <v>60678.381000000001</v>
      </c>
      <c r="G607">
        <v>1.0999999999999999E-2</v>
      </c>
      <c r="I607" t="s">
        <v>1708</v>
      </c>
      <c r="J607" t="s">
        <v>1919</v>
      </c>
    </row>
    <row r="608" spans="1:10">
      <c r="B608" t="s">
        <v>2108</v>
      </c>
      <c r="C608">
        <v>2</v>
      </c>
      <c r="E608">
        <v>60784.6</v>
      </c>
      <c r="G608">
        <v>0.3</v>
      </c>
      <c r="I608" t="s">
        <v>1708</v>
      </c>
      <c r="J608" t="s">
        <v>1919</v>
      </c>
    </row>
    <row r="609" spans="1:10">
      <c r="B609" t="s">
        <v>2108</v>
      </c>
      <c r="C609">
        <v>3</v>
      </c>
      <c r="E609">
        <v>60901.8</v>
      </c>
      <c r="G609">
        <v>0.9</v>
      </c>
      <c r="I609" t="s">
        <v>1708</v>
      </c>
      <c r="J609" t="s">
        <v>1709</v>
      </c>
    </row>
    <row r="610" spans="1:10">
      <c r="B610" t="s">
        <v>2108</v>
      </c>
      <c r="C610">
        <v>4</v>
      </c>
      <c r="E610">
        <v>61052.49</v>
      </c>
      <c r="G610">
        <v>0.09</v>
      </c>
      <c r="I610" t="s">
        <v>1708</v>
      </c>
      <c r="J610" t="s">
        <v>1709</v>
      </c>
    </row>
    <row r="611" spans="1:10">
      <c r="B611" t="s">
        <v>2108</v>
      </c>
      <c r="C611">
        <v>5</v>
      </c>
      <c r="E611">
        <v>61193.94</v>
      </c>
      <c r="G611">
        <v>0.1</v>
      </c>
      <c r="I611" t="s">
        <v>1708</v>
      </c>
      <c r="J611" t="s">
        <v>1919</v>
      </c>
    </row>
    <row r="612" spans="1:10">
      <c r="A612" t="s">
        <v>2109</v>
      </c>
      <c r="B612" t="s">
        <v>1005</v>
      </c>
      <c r="C612">
        <v>3</v>
      </c>
      <c r="E612">
        <v>60819.35</v>
      </c>
      <c r="G612">
        <v>0.1</v>
      </c>
      <c r="I612" t="s">
        <v>2110</v>
      </c>
      <c r="J612" t="s">
        <v>1705</v>
      </c>
    </row>
    <row r="613" spans="1:10">
      <c r="A613" t="s">
        <v>2109</v>
      </c>
      <c r="B613" t="s">
        <v>1005</v>
      </c>
      <c r="C613">
        <v>4</v>
      </c>
      <c r="E613">
        <v>60960.351000000002</v>
      </c>
      <c r="G613">
        <v>8.9999999999999993E-3</v>
      </c>
      <c r="I613" t="s">
        <v>2111</v>
      </c>
      <c r="J613" t="s">
        <v>1705</v>
      </c>
    </row>
    <row r="614" spans="1:10">
      <c r="A614" t="s">
        <v>2089</v>
      </c>
      <c r="B614" t="s">
        <v>2112</v>
      </c>
      <c r="C614">
        <v>4</v>
      </c>
      <c r="E614">
        <v>60870.561000000002</v>
      </c>
      <c r="G614">
        <v>3.0000000000000001E-3</v>
      </c>
      <c r="I614" t="s">
        <v>2113</v>
      </c>
      <c r="J614" t="s">
        <v>1705</v>
      </c>
    </row>
    <row r="615" spans="1:10">
      <c r="A615" t="s">
        <v>2089</v>
      </c>
      <c r="B615" t="s">
        <v>2112</v>
      </c>
      <c r="C615">
        <v>5</v>
      </c>
      <c r="E615">
        <v>61007.819000000003</v>
      </c>
      <c r="G615">
        <v>6.0000000000000001E-3</v>
      </c>
      <c r="I615" t="s">
        <v>2114</v>
      </c>
      <c r="J615" t="s">
        <v>1705</v>
      </c>
    </row>
    <row r="616" spans="1:10">
      <c r="A616" t="s">
        <v>2089</v>
      </c>
      <c r="B616" t="s">
        <v>2112</v>
      </c>
      <c r="C616">
        <v>6</v>
      </c>
      <c r="E616">
        <v>61191.578000000001</v>
      </c>
      <c r="G616">
        <v>3.0000000000000001E-3</v>
      </c>
      <c r="I616" t="s">
        <v>2115</v>
      </c>
      <c r="J616" t="s">
        <v>1705</v>
      </c>
    </row>
    <row r="617" spans="1:10">
      <c r="B617" t="s">
        <v>2116</v>
      </c>
      <c r="C617">
        <v>1</v>
      </c>
      <c r="E617">
        <v>61065.83</v>
      </c>
      <c r="G617">
        <v>0.06</v>
      </c>
      <c r="I617" t="s">
        <v>1708</v>
      </c>
      <c r="J617" t="s">
        <v>1709</v>
      </c>
    </row>
    <row r="618" spans="1:10">
      <c r="B618" t="s">
        <v>2116</v>
      </c>
      <c r="C618">
        <v>2</v>
      </c>
      <c r="E618">
        <v>61107.87</v>
      </c>
      <c r="G618">
        <v>0.13</v>
      </c>
      <c r="I618" t="s">
        <v>1708</v>
      </c>
      <c r="J618" t="s">
        <v>1709</v>
      </c>
    </row>
    <row r="619" spans="1:10">
      <c r="B619" t="s">
        <v>2116</v>
      </c>
      <c r="C619">
        <v>3</v>
      </c>
      <c r="E619">
        <v>61198.74</v>
      </c>
      <c r="G619">
        <v>0.15</v>
      </c>
      <c r="I619" t="s">
        <v>1708</v>
      </c>
      <c r="J619" t="s">
        <v>1709</v>
      </c>
    </row>
    <row r="620" spans="1:10">
      <c r="A620" t="s">
        <v>2071</v>
      </c>
      <c r="B620" t="s">
        <v>2117</v>
      </c>
      <c r="C620">
        <v>3</v>
      </c>
      <c r="E620">
        <v>61078.175000000003</v>
      </c>
      <c r="G620">
        <v>5.0000000000000001E-3</v>
      </c>
      <c r="I620" t="s">
        <v>2118</v>
      </c>
      <c r="J620" t="s">
        <v>1705</v>
      </c>
    </row>
    <row r="621" spans="1:10">
      <c r="A621" t="s">
        <v>2071</v>
      </c>
      <c r="B621" t="s">
        <v>2117</v>
      </c>
      <c r="C621">
        <v>4</v>
      </c>
      <c r="E621">
        <v>61123.110999999997</v>
      </c>
      <c r="G621">
        <v>3.0000000000000001E-3</v>
      </c>
      <c r="I621" t="s">
        <v>2119</v>
      </c>
      <c r="J621" t="s">
        <v>1705</v>
      </c>
    </row>
    <row r="622" spans="1:10">
      <c r="A622" t="s">
        <v>2071</v>
      </c>
      <c r="B622" t="s">
        <v>2117</v>
      </c>
      <c r="C622">
        <v>5</v>
      </c>
      <c r="E622">
        <v>61161.313999999998</v>
      </c>
      <c r="G622">
        <v>1.4E-2</v>
      </c>
      <c r="I622" t="s">
        <v>2120</v>
      </c>
      <c r="J622" t="s">
        <v>1705</v>
      </c>
    </row>
    <row r="623" spans="1:10">
      <c r="A623" t="s">
        <v>2121</v>
      </c>
      <c r="B623" t="s">
        <v>2122</v>
      </c>
      <c r="C623">
        <v>0</v>
      </c>
      <c r="E623">
        <v>61387.78</v>
      </c>
      <c r="G623">
        <v>0.09</v>
      </c>
      <c r="I623" t="s">
        <v>2123</v>
      </c>
      <c r="J623" t="s">
        <v>1705</v>
      </c>
    </row>
    <row r="624" spans="1:10">
      <c r="A624" t="s">
        <v>2121</v>
      </c>
      <c r="B624" t="s">
        <v>2122</v>
      </c>
      <c r="C624">
        <v>1</v>
      </c>
      <c r="E624">
        <v>61527.31</v>
      </c>
      <c r="G624">
        <v>0.05</v>
      </c>
      <c r="I624" t="s">
        <v>2124</v>
      </c>
      <c r="J624" t="s">
        <v>1705</v>
      </c>
    </row>
    <row r="625" spans="1:10">
      <c r="A625" t="s">
        <v>2121</v>
      </c>
      <c r="B625" t="s">
        <v>2122</v>
      </c>
      <c r="C625">
        <v>2</v>
      </c>
      <c r="E625">
        <v>61675.76</v>
      </c>
      <c r="G625">
        <v>7.0000000000000007E-2</v>
      </c>
      <c r="I625" t="s">
        <v>2125</v>
      </c>
      <c r="J625" t="s">
        <v>1705</v>
      </c>
    </row>
    <row r="626" spans="1:10">
      <c r="A626" t="s">
        <v>1826</v>
      </c>
      <c r="B626" t="s">
        <v>175</v>
      </c>
      <c r="C626">
        <v>1</v>
      </c>
      <c r="E626">
        <v>61558.09</v>
      </c>
      <c r="G626">
        <v>0.15</v>
      </c>
      <c r="I626" t="s">
        <v>1708</v>
      </c>
      <c r="J626" t="s">
        <v>1709</v>
      </c>
    </row>
    <row r="627" spans="1:10">
      <c r="A627" t="s">
        <v>1826</v>
      </c>
      <c r="B627" t="s">
        <v>175</v>
      </c>
      <c r="C627">
        <v>2</v>
      </c>
      <c r="E627">
        <v>61687.61</v>
      </c>
      <c r="G627">
        <v>0.09</v>
      </c>
      <c r="I627" t="s">
        <v>1708</v>
      </c>
      <c r="J627" t="s">
        <v>1709</v>
      </c>
    </row>
    <row r="628" spans="1:10">
      <c r="A628" t="s">
        <v>1826</v>
      </c>
      <c r="B628" t="s">
        <v>175</v>
      </c>
      <c r="C628">
        <v>3</v>
      </c>
      <c r="E628">
        <v>61849.96</v>
      </c>
      <c r="G628">
        <v>0.3</v>
      </c>
      <c r="I628" t="s">
        <v>1708</v>
      </c>
      <c r="J628" t="s">
        <v>1709</v>
      </c>
    </row>
    <row r="629" spans="1:10">
      <c r="A629" t="s">
        <v>2034</v>
      </c>
      <c r="B629" t="s">
        <v>2126</v>
      </c>
      <c r="C629">
        <v>3</v>
      </c>
      <c r="E629">
        <v>61930.05</v>
      </c>
      <c r="G629">
        <v>0.05</v>
      </c>
      <c r="I629" t="s">
        <v>2127</v>
      </c>
      <c r="J629" t="s">
        <v>1705</v>
      </c>
    </row>
    <row r="630" spans="1:10">
      <c r="A630" t="s">
        <v>2034</v>
      </c>
      <c r="B630" t="s">
        <v>2126</v>
      </c>
      <c r="C630">
        <v>5</v>
      </c>
      <c r="E630">
        <v>62037.504999999997</v>
      </c>
      <c r="G630">
        <v>3.0000000000000001E-3</v>
      </c>
      <c r="I630" t="s">
        <v>2128</v>
      </c>
      <c r="J630" t="s">
        <v>1705</v>
      </c>
    </row>
    <row r="631" spans="1:10">
      <c r="A631" t="s">
        <v>2034</v>
      </c>
      <c r="B631" t="s">
        <v>293</v>
      </c>
      <c r="C631">
        <v>4</v>
      </c>
      <c r="E631">
        <v>61976.53</v>
      </c>
      <c r="G631">
        <v>7.0000000000000007E-2</v>
      </c>
      <c r="I631" t="s">
        <v>2129</v>
      </c>
      <c r="J631" t="s">
        <v>1705</v>
      </c>
    </row>
    <row r="632" spans="1:10">
      <c r="A632" t="s">
        <v>2130</v>
      </c>
      <c r="B632" t="s">
        <v>2131</v>
      </c>
      <c r="C632">
        <v>3</v>
      </c>
      <c r="E632">
        <v>62034.33</v>
      </c>
      <c r="G632">
        <v>0.11</v>
      </c>
      <c r="I632" t="s">
        <v>1708</v>
      </c>
      <c r="J632" t="s">
        <v>1709</v>
      </c>
    </row>
    <row r="633" spans="1:10">
      <c r="A633" t="s">
        <v>2130</v>
      </c>
      <c r="B633" t="s">
        <v>2131</v>
      </c>
      <c r="C633">
        <v>4</v>
      </c>
      <c r="E633">
        <v>62188.733</v>
      </c>
      <c r="G633">
        <v>1.0999999999999999E-2</v>
      </c>
      <c r="I633" t="s">
        <v>1708</v>
      </c>
      <c r="J633" t="s">
        <v>1709</v>
      </c>
    </row>
    <row r="634" spans="1:10">
      <c r="A634" t="s">
        <v>2130</v>
      </c>
      <c r="B634" t="s">
        <v>2131</v>
      </c>
      <c r="C634">
        <v>5</v>
      </c>
      <c r="E634">
        <v>62472.9</v>
      </c>
      <c r="G634">
        <v>0.3</v>
      </c>
      <c r="I634" t="s">
        <v>1708</v>
      </c>
      <c r="J634" t="s">
        <v>1709</v>
      </c>
    </row>
    <row r="635" spans="1:10">
      <c r="A635" t="s">
        <v>2130</v>
      </c>
      <c r="B635" t="s">
        <v>2131</v>
      </c>
      <c r="C635">
        <v>6</v>
      </c>
      <c r="E635">
        <v>62658.42</v>
      </c>
      <c r="G635">
        <v>0.08</v>
      </c>
      <c r="I635" t="s">
        <v>1708</v>
      </c>
      <c r="J635" t="s">
        <v>1709</v>
      </c>
    </row>
    <row r="636" spans="1:10">
      <c r="A636" t="s">
        <v>2132</v>
      </c>
      <c r="B636" t="s">
        <v>2133</v>
      </c>
      <c r="C636">
        <v>2</v>
      </c>
      <c r="E636">
        <v>62646.61</v>
      </c>
      <c r="G636">
        <v>0.12</v>
      </c>
      <c r="I636" t="s">
        <v>1708</v>
      </c>
      <c r="J636" t="s">
        <v>1709</v>
      </c>
    </row>
    <row r="637" spans="1:10">
      <c r="A637" t="s">
        <v>2132</v>
      </c>
      <c r="B637" t="s">
        <v>2133</v>
      </c>
      <c r="C637">
        <v>3</v>
      </c>
      <c r="E637">
        <v>62661.93</v>
      </c>
      <c r="G637">
        <v>0.11</v>
      </c>
      <c r="I637" t="s">
        <v>1708</v>
      </c>
      <c r="J637" t="s">
        <v>1709</v>
      </c>
    </row>
    <row r="638" spans="1:10">
      <c r="A638" t="s">
        <v>2132</v>
      </c>
      <c r="B638" t="s">
        <v>2133</v>
      </c>
      <c r="C638">
        <v>4</v>
      </c>
      <c r="E638">
        <v>62671.040000000001</v>
      </c>
      <c r="G638">
        <v>0.09</v>
      </c>
      <c r="I638" t="s">
        <v>1708</v>
      </c>
      <c r="J638" t="s">
        <v>1709</v>
      </c>
    </row>
    <row r="639" spans="1:10">
      <c r="A639" t="s">
        <v>2132</v>
      </c>
      <c r="B639" t="s">
        <v>2133</v>
      </c>
      <c r="C639">
        <v>6</v>
      </c>
      <c r="E639">
        <v>62673.868999999999</v>
      </c>
      <c r="G639">
        <v>1.9E-2</v>
      </c>
      <c r="I639" t="s">
        <v>1708</v>
      </c>
      <c r="J639" t="s">
        <v>1709</v>
      </c>
    </row>
    <row r="640" spans="1:10">
      <c r="A640" t="s">
        <v>2132</v>
      </c>
      <c r="B640" t="s">
        <v>2133</v>
      </c>
      <c r="C640">
        <v>5</v>
      </c>
      <c r="E640">
        <v>62690.9</v>
      </c>
      <c r="G640">
        <v>0.06</v>
      </c>
      <c r="I640" t="s">
        <v>1708</v>
      </c>
      <c r="J640" t="s">
        <v>1709</v>
      </c>
    </row>
    <row r="641" spans="1:10">
      <c r="A641" t="s">
        <v>2134</v>
      </c>
      <c r="B641" t="s">
        <v>2135</v>
      </c>
      <c r="C641">
        <v>4</v>
      </c>
      <c r="E641">
        <v>62762.055999999997</v>
      </c>
      <c r="G641">
        <v>4.0000000000000001E-3</v>
      </c>
      <c r="I641" t="s">
        <v>1708</v>
      </c>
      <c r="J641" t="s">
        <v>1709</v>
      </c>
    </row>
    <row r="642" spans="1:10">
      <c r="A642" t="s">
        <v>2134</v>
      </c>
      <c r="B642" t="s">
        <v>2135</v>
      </c>
      <c r="C642">
        <v>5</v>
      </c>
      <c r="E642">
        <v>62830.256000000001</v>
      </c>
      <c r="G642">
        <v>3.0000000000000001E-3</v>
      </c>
      <c r="I642" t="s">
        <v>1708</v>
      </c>
      <c r="J642" t="s">
        <v>1709</v>
      </c>
    </row>
    <row r="643" spans="1:10">
      <c r="A643" t="s">
        <v>2134</v>
      </c>
      <c r="B643" t="s">
        <v>2135</v>
      </c>
      <c r="C643">
        <v>6</v>
      </c>
      <c r="E643">
        <v>62903.082999999999</v>
      </c>
      <c r="G643">
        <v>3.0000000000000001E-3</v>
      </c>
      <c r="I643" t="s">
        <v>1708</v>
      </c>
      <c r="J643" t="s">
        <v>1709</v>
      </c>
    </row>
    <row r="644" spans="1:10">
      <c r="B644" t="s">
        <v>2136</v>
      </c>
      <c r="C644">
        <v>4</v>
      </c>
      <c r="E644">
        <v>63116.599000000002</v>
      </c>
      <c r="G644">
        <v>5.0000000000000001E-3</v>
      </c>
      <c r="I644" t="s">
        <v>1708</v>
      </c>
      <c r="J644" t="s">
        <v>1709</v>
      </c>
    </row>
    <row r="645" spans="1:10">
      <c r="B645" t="s">
        <v>2136</v>
      </c>
      <c r="C645">
        <v>5</v>
      </c>
      <c r="E645">
        <v>63144.156000000003</v>
      </c>
      <c r="G645">
        <v>3.0000000000000001E-3</v>
      </c>
      <c r="I645" t="s">
        <v>1708</v>
      </c>
      <c r="J645" t="s">
        <v>1709</v>
      </c>
    </row>
    <row r="646" spans="1:10">
      <c r="B646" t="s">
        <v>2136</v>
      </c>
      <c r="C646">
        <v>6</v>
      </c>
      <c r="E646">
        <v>63182.745000000003</v>
      </c>
      <c r="G646">
        <v>3.0000000000000001E-3</v>
      </c>
      <c r="I646" t="s">
        <v>1708</v>
      </c>
      <c r="J646" t="s">
        <v>1709</v>
      </c>
    </row>
    <row r="647" spans="1:10">
      <c r="A647" t="s">
        <v>2137</v>
      </c>
      <c r="B647" t="s">
        <v>2138</v>
      </c>
      <c r="C647">
        <v>4</v>
      </c>
      <c r="E647">
        <v>63841.873</v>
      </c>
      <c r="G647">
        <v>8.9999999999999993E-3</v>
      </c>
      <c r="I647" t="s">
        <v>1708</v>
      </c>
      <c r="J647" t="s">
        <v>1709</v>
      </c>
    </row>
    <row r="648" spans="1:10">
      <c r="A648" t="s">
        <v>2137</v>
      </c>
      <c r="B648" t="s">
        <v>2138</v>
      </c>
      <c r="C648">
        <v>5</v>
      </c>
      <c r="E648">
        <v>63927.207000000002</v>
      </c>
      <c r="G648">
        <v>4.0000000000000001E-3</v>
      </c>
      <c r="I648" t="s">
        <v>1708</v>
      </c>
      <c r="J648" t="s">
        <v>1709</v>
      </c>
    </row>
    <row r="649" spans="1:10">
      <c r="A649" t="s">
        <v>2137</v>
      </c>
      <c r="B649" t="s">
        <v>2138</v>
      </c>
      <c r="C649">
        <v>6</v>
      </c>
      <c r="E649">
        <v>63997.909</v>
      </c>
      <c r="G649">
        <v>8.0000000000000002E-3</v>
      </c>
      <c r="I649" t="s">
        <v>1708</v>
      </c>
      <c r="J649" t="s">
        <v>1709</v>
      </c>
    </row>
    <row r="650" spans="1:10">
      <c r="A650" t="s">
        <v>1826</v>
      </c>
      <c r="B650" t="s">
        <v>964</v>
      </c>
      <c r="C650">
        <v>3</v>
      </c>
      <c r="E650">
        <v>64711.93</v>
      </c>
      <c r="G650">
        <v>0.06</v>
      </c>
      <c r="I650" t="s">
        <v>1708</v>
      </c>
      <c r="J650" t="s">
        <v>1709</v>
      </c>
    </row>
    <row r="651" spans="1:10">
      <c r="A651" t="s">
        <v>1826</v>
      </c>
      <c r="B651" t="s">
        <v>964</v>
      </c>
      <c r="C651">
        <v>4</v>
      </c>
      <c r="E651">
        <v>64751.33</v>
      </c>
      <c r="G651">
        <v>0.04</v>
      </c>
      <c r="I651" t="s">
        <v>1708</v>
      </c>
      <c r="J651" t="s">
        <v>1709</v>
      </c>
    </row>
    <row r="652" spans="1:10">
      <c r="A652" t="s">
        <v>1826</v>
      </c>
      <c r="B652" t="s">
        <v>964</v>
      </c>
      <c r="C652">
        <v>5</v>
      </c>
      <c r="E652">
        <v>64801.993000000002</v>
      </c>
      <c r="G652">
        <v>1.2E-2</v>
      </c>
      <c r="I652" t="s">
        <v>1708</v>
      </c>
      <c r="J652" t="s">
        <v>1709</v>
      </c>
    </row>
    <row r="653" spans="1:10">
      <c r="A653" t="s">
        <v>1826</v>
      </c>
      <c r="B653" t="s">
        <v>964</v>
      </c>
      <c r="C653">
        <v>6</v>
      </c>
      <c r="E653">
        <v>64836.29</v>
      </c>
      <c r="G653">
        <v>7.0000000000000007E-2</v>
      </c>
      <c r="I653" t="s">
        <v>1708</v>
      </c>
      <c r="J653" t="s">
        <v>1709</v>
      </c>
    </row>
    <row r="654" spans="1:10">
      <c r="A654" t="s">
        <v>1826</v>
      </c>
      <c r="B654" t="s">
        <v>964</v>
      </c>
      <c r="C654">
        <v>7</v>
      </c>
      <c r="E654">
        <v>64940.241000000002</v>
      </c>
      <c r="G654">
        <v>8.0000000000000002E-3</v>
      </c>
      <c r="I654" t="s">
        <v>1708</v>
      </c>
      <c r="J654" t="s">
        <v>1709</v>
      </c>
    </row>
    <row r="655" spans="1:10">
      <c r="A655" t="s">
        <v>2137</v>
      </c>
      <c r="B655" t="s">
        <v>2139</v>
      </c>
      <c r="C655">
        <v>3</v>
      </c>
      <c r="E655">
        <v>66008.86</v>
      </c>
      <c r="G655">
        <v>0.06</v>
      </c>
      <c r="I655" t="s">
        <v>1708</v>
      </c>
      <c r="J655" t="s">
        <v>1709</v>
      </c>
    </row>
    <row r="656" spans="1:10">
      <c r="A656" t="s">
        <v>2137</v>
      </c>
      <c r="B656" t="s">
        <v>2139</v>
      </c>
      <c r="C656">
        <v>4</v>
      </c>
      <c r="E656">
        <v>66093.960000000006</v>
      </c>
      <c r="G656">
        <v>7.0000000000000007E-2</v>
      </c>
      <c r="I656" t="s">
        <v>1708</v>
      </c>
      <c r="J656" t="s">
        <v>1709</v>
      </c>
    </row>
    <row r="657" spans="1:10">
      <c r="A657" t="s">
        <v>2137</v>
      </c>
      <c r="B657" t="s">
        <v>2139</v>
      </c>
      <c r="C657">
        <v>5</v>
      </c>
      <c r="E657">
        <v>66180.45</v>
      </c>
      <c r="G657">
        <v>0.13</v>
      </c>
      <c r="I657" t="s">
        <v>1708</v>
      </c>
      <c r="J657" t="s">
        <v>1709</v>
      </c>
    </row>
    <row r="658" spans="1:10">
      <c r="A658" t="s">
        <v>2140</v>
      </c>
      <c r="B658" t="s">
        <v>1918</v>
      </c>
      <c r="C658">
        <v>4</v>
      </c>
      <c r="E658">
        <v>311280</v>
      </c>
      <c r="G658">
        <v>80</v>
      </c>
      <c r="I658" t="s">
        <v>1708</v>
      </c>
      <c r="J658" t="s">
        <v>1709</v>
      </c>
    </row>
    <row r="659" spans="1:10">
      <c r="A659" t="s">
        <v>2140</v>
      </c>
      <c r="B659" t="s">
        <v>1918</v>
      </c>
      <c r="C659">
        <v>3</v>
      </c>
      <c r="E659">
        <v>314230</v>
      </c>
      <c r="G659">
        <v>80</v>
      </c>
      <c r="I659" t="s">
        <v>1708</v>
      </c>
      <c r="J659" t="s">
        <v>1709</v>
      </c>
    </row>
    <row r="660" spans="1:10">
      <c r="A660" t="s">
        <v>2140</v>
      </c>
      <c r="B660" t="s">
        <v>1918</v>
      </c>
      <c r="C660">
        <v>2</v>
      </c>
      <c r="E660">
        <v>316820</v>
      </c>
      <c r="G660">
        <v>80</v>
      </c>
      <c r="I660" t="s">
        <v>1708</v>
      </c>
      <c r="J660" t="s">
        <v>1709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3634-9CFF-4303-9890-08DE77DE4D23}">
  <dimension ref="A1:J553"/>
  <sheetViews>
    <sheetView workbookViewId="0">
      <selection sqref="A1:J1048576"/>
    </sheetView>
  </sheetViews>
  <sheetFormatPr defaultRowHeight="15"/>
  <cols>
    <col min="1" max="1" width="20.42578125" bestFit="1" customWidth="1"/>
    <col min="2" max="2" width="6.28515625" bestFit="1" customWidth="1"/>
    <col min="3" max="3" width="4.855468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8" bestFit="1" customWidth="1"/>
    <col min="9" max="9" width="41.140625" bestFit="1" customWidth="1"/>
    <col min="10" max="10" width="10.14062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2141</v>
      </c>
      <c r="B2" t="s">
        <v>1095</v>
      </c>
      <c r="C2" s="2" t="s">
        <v>249</v>
      </c>
      <c r="E2">
        <v>0</v>
      </c>
      <c r="H2">
        <v>2.0015200000000002</v>
      </c>
      <c r="I2">
        <v>100</v>
      </c>
      <c r="J2" t="s">
        <v>574</v>
      </c>
    </row>
    <row r="3" spans="1:10">
      <c r="A3" t="s">
        <v>2142</v>
      </c>
      <c r="B3" t="s">
        <v>1040</v>
      </c>
      <c r="C3" s="2" t="s">
        <v>252</v>
      </c>
      <c r="E3">
        <v>17052.29</v>
      </c>
      <c r="H3">
        <v>1.5589999999999999</v>
      </c>
      <c r="I3">
        <v>100</v>
      </c>
    </row>
    <row r="4" spans="1:10">
      <c r="A4" t="s">
        <v>2142</v>
      </c>
      <c r="B4" t="s">
        <v>1040</v>
      </c>
      <c r="C4" s="2" t="s">
        <v>251</v>
      </c>
      <c r="E4">
        <v>17282</v>
      </c>
      <c r="H4">
        <v>1.5840000000000001</v>
      </c>
      <c r="I4">
        <v>100</v>
      </c>
    </row>
    <row r="5" spans="1:10">
      <c r="A5" t="s">
        <v>2142</v>
      </c>
      <c r="B5" t="s">
        <v>1040</v>
      </c>
      <c r="C5" s="2" t="s">
        <v>249</v>
      </c>
      <c r="E5">
        <v>17451.52</v>
      </c>
      <c r="H5">
        <v>1.657</v>
      </c>
      <c r="I5">
        <v>100</v>
      </c>
    </row>
    <row r="6" spans="1:10">
      <c r="A6" t="s">
        <v>2142</v>
      </c>
      <c r="B6" t="s">
        <v>1040</v>
      </c>
      <c r="C6" s="2" t="s">
        <v>250</v>
      </c>
      <c r="E6">
        <v>17568.48</v>
      </c>
      <c r="H6">
        <v>1.8660000000000001</v>
      </c>
      <c r="I6">
        <v>100</v>
      </c>
    </row>
    <row r="7" spans="1:10">
      <c r="A7" t="s">
        <v>2142</v>
      </c>
      <c r="B7" t="s">
        <v>1040</v>
      </c>
      <c r="C7" s="2" t="s">
        <v>248</v>
      </c>
      <c r="E7">
        <v>17637.150000000001</v>
      </c>
      <c r="H7">
        <v>3.327</v>
      </c>
      <c r="I7">
        <v>100</v>
      </c>
    </row>
    <row r="8" spans="1:10">
      <c r="A8" t="s">
        <v>2143</v>
      </c>
      <c r="B8" t="s">
        <v>2144</v>
      </c>
      <c r="C8" s="2" t="s">
        <v>249</v>
      </c>
      <c r="E8">
        <v>18402.46</v>
      </c>
      <c r="H8">
        <v>2.2839999999999998</v>
      </c>
      <c r="I8">
        <v>100</v>
      </c>
    </row>
    <row r="9" spans="1:10">
      <c r="A9" t="s">
        <v>2143</v>
      </c>
      <c r="B9" t="s">
        <v>2144</v>
      </c>
      <c r="C9" s="2" t="s">
        <v>251</v>
      </c>
      <c r="E9">
        <v>18531.64</v>
      </c>
      <c r="H9">
        <v>1.9379999999999999</v>
      </c>
      <c r="I9">
        <v>100</v>
      </c>
    </row>
    <row r="10" spans="1:10">
      <c r="A10" t="s">
        <v>2143</v>
      </c>
      <c r="B10" t="s">
        <v>2144</v>
      </c>
      <c r="C10" s="2" t="s">
        <v>252</v>
      </c>
      <c r="E10">
        <v>18705.37</v>
      </c>
      <c r="H10">
        <v>1.7789999999999999</v>
      </c>
      <c r="I10">
        <v>100</v>
      </c>
    </row>
    <row r="11" spans="1:10">
      <c r="A11" t="s">
        <v>2142</v>
      </c>
      <c r="B11" t="s">
        <v>1041</v>
      </c>
      <c r="C11" s="2" t="s">
        <v>251</v>
      </c>
      <c r="E11">
        <v>23296.67</v>
      </c>
      <c r="H11">
        <v>1.427</v>
      </c>
      <c r="I11" t="s">
        <v>2145</v>
      </c>
    </row>
    <row r="12" spans="1:10">
      <c r="A12" t="s">
        <v>2142</v>
      </c>
      <c r="B12" t="s">
        <v>1041</v>
      </c>
      <c r="C12" s="2" t="s">
        <v>249</v>
      </c>
      <c r="E12">
        <v>23549.200000000001</v>
      </c>
      <c r="H12">
        <v>1.3680000000000001</v>
      </c>
      <c r="I12" t="s">
        <v>2145</v>
      </c>
    </row>
    <row r="13" spans="1:10">
      <c r="A13" t="s">
        <v>2142</v>
      </c>
      <c r="B13" t="s">
        <v>1041</v>
      </c>
      <c r="C13" s="2" t="s">
        <v>250</v>
      </c>
      <c r="E13">
        <v>23719.52</v>
      </c>
      <c r="H13">
        <v>1.198</v>
      </c>
      <c r="I13" t="s">
        <v>2145</v>
      </c>
    </row>
    <row r="14" spans="1:10">
      <c r="A14" t="s">
        <v>2142</v>
      </c>
      <c r="B14" t="s">
        <v>1041</v>
      </c>
      <c r="C14" s="2" t="s">
        <v>248</v>
      </c>
      <c r="E14">
        <v>23818.87</v>
      </c>
      <c r="H14">
        <v>0</v>
      </c>
      <c r="I14" t="s">
        <v>2145</v>
      </c>
    </row>
    <row r="15" spans="1:10">
      <c r="A15" t="s">
        <v>2143</v>
      </c>
      <c r="B15" t="s">
        <v>1139</v>
      </c>
      <c r="C15" s="2" t="s">
        <v>250</v>
      </c>
      <c r="E15">
        <v>24779.32</v>
      </c>
      <c r="H15">
        <v>2.3639999999999999</v>
      </c>
      <c r="I15">
        <v>97</v>
      </c>
    </row>
    <row r="16" spans="1:10">
      <c r="A16" t="s">
        <v>2143</v>
      </c>
      <c r="B16" t="s">
        <v>1139</v>
      </c>
      <c r="C16" s="2" t="s">
        <v>249</v>
      </c>
      <c r="E16">
        <v>24788.05</v>
      </c>
      <c r="H16">
        <v>1.875</v>
      </c>
      <c r="I16">
        <v>98</v>
      </c>
    </row>
    <row r="17" spans="1:9">
      <c r="A17" t="s">
        <v>2143</v>
      </c>
      <c r="B17" t="s">
        <v>1139</v>
      </c>
      <c r="C17" s="2" t="s">
        <v>251</v>
      </c>
      <c r="E17">
        <v>24802.25</v>
      </c>
      <c r="H17">
        <v>1.714</v>
      </c>
      <c r="I17">
        <v>98</v>
      </c>
    </row>
    <row r="18" spans="1:9">
      <c r="A18" t="s">
        <v>2141</v>
      </c>
      <c r="B18" t="s">
        <v>1074</v>
      </c>
      <c r="C18" s="2" t="s">
        <v>1702</v>
      </c>
      <c r="E18">
        <v>25265.74</v>
      </c>
      <c r="H18">
        <v>1.27</v>
      </c>
      <c r="I18">
        <v>100</v>
      </c>
    </row>
    <row r="19" spans="1:9">
      <c r="A19" t="s">
        <v>2141</v>
      </c>
      <c r="B19" t="s">
        <v>1074</v>
      </c>
      <c r="C19" s="2" t="s">
        <v>249</v>
      </c>
      <c r="E19">
        <v>25281.040000000001</v>
      </c>
      <c r="I19">
        <v>100</v>
      </c>
    </row>
    <row r="20" spans="1:9">
      <c r="A20" t="s">
        <v>2141</v>
      </c>
      <c r="B20" t="s">
        <v>1074</v>
      </c>
      <c r="C20" s="2" t="s">
        <v>252</v>
      </c>
      <c r="E20">
        <v>25285.43</v>
      </c>
      <c r="H20">
        <v>1.173</v>
      </c>
      <c r="I20">
        <v>100</v>
      </c>
    </row>
    <row r="21" spans="1:9">
      <c r="A21" t="s">
        <v>2141</v>
      </c>
      <c r="B21" t="s">
        <v>1074</v>
      </c>
      <c r="C21" s="2" t="s">
        <v>251</v>
      </c>
      <c r="E21">
        <v>25287.74</v>
      </c>
      <c r="I21">
        <v>100</v>
      </c>
    </row>
    <row r="22" spans="1:9">
      <c r="A22" t="s">
        <v>2141</v>
      </c>
      <c r="B22" t="s">
        <v>1043</v>
      </c>
      <c r="C22" s="2" t="s">
        <v>249</v>
      </c>
      <c r="E22">
        <v>27201.54</v>
      </c>
      <c r="H22">
        <v>1.597</v>
      </c>
      <c r="I22" t="s">
        <v>2146</v>
      </c>
    </row>
    <row r="23" spans="1:9">
      <c r="A23" t="s">
        <v>2141</v>
      </c>
      <c r="B23" t="s">
        <v>1043</v>
      </c>
      <c r="C23" s="2" t="s">
        <v>250</v>
      </c>
      <c r="E23">
        <v>27248</v>
      </c>
      <c r="H23">
        <v>1.73</v>
      </c>
      <c r="I23" t="s">
        <v>2146</v>
      </c>
    </row>
    <row r="24" spans="1:9">
      <c r="A24" t="s">
        <v>2141</v>
      </c>
      <c r="B24" t="s">
        <v>1043</v>
      </c>
      <c r="C24" s="2" t="s">
        <v>248</v>
      </c>
      <c r="E24">
        <v>27281.85</v>
      </c>
      <c r="H24">
        <v>2.6659999999999999</v>
      </c>
      <c r="I24" t="s">
        <v>2146</v>
      </c>
    </row>
    <row r="25" spans="1:9">
      <c r="A25" t="s">
        <v>2141</v>
      </c>
      <c r="B25" t="s">
        <v>1104</v>
      </c>
      <c r="C25" s="2" t="s">
        <v>251</v>
      </c>
      <c r="E25">
        <v>30354.21</v>
      </c>
      <c r="H25">
        <v>1.425</v>
      </c>
      <c r="I25" t="s">
        <v>2147</v>
      </c>
    </row>
    <row r="26" spans="1:9">
      <c r="A26" t="s">
        <v>2141</v>
      </c>
      <c r="B26" t="s">
        <v>1104</v>
      </c>
      <c r="C26" s="2" t="s">
        <v>248</v>
      </c>
      <c r="E26">
        <v>30411.74</v>
      </c>
      <c r="H26">
        <v>0.111</v>
      </c>
      <c r="I26" t="s">
        <v>2147</v>
      </c>
    </row>
    <row r="27" spans="1:9">
      <c r="A27" t="s">
        <v>2141</v>
      </c>
      <c r="B27" t="s">
        <v>1104</v>
      </c>
      <c r="C27" s="2" t="s">
        <v>249</v>
      </c>
      <c r="E27">
        <v>30419.61</v>
      </c>
      <c r="H27">
        <v>1.38</v>
      </c>
      <c r="I27" t="s">
        <v>2147</v>
      </c>
    </row>
    <row r="28" spans="1:9">
      <c r="A28" t="s">
        <v>2141</v>
      </c>
      <c r="B28" t="s">
        <v>1104</v>
      </c>
      <c r="C28" s="2" t="s">
        <v>250</v>
      </c>
      <c r="E28">
        <v>30425.71</v>
      </c>
      <c r="I28" t="s">
        <v>2147</v>
      </c>
    </row>
    <row r="29" spans="1:9">
      <c r="A29" t="s">
        <v>2143</v>
      </c>
      <c r="B29" t="s">
        <v>1143</v>
      </c>
      <c r="C29" s="2" t="s">
        <v>249</v>
      </c>
      <c r="E29">
        <v>31001.15</v>
      </c>
      <c r="H29">
        <v>1.6</v>
      </c>
      <c r="I29">
        <v>97</v>
      </c>
    </row>
    <row r="30" spans="1:9">
      <c r="A30" t="s">
        <v>2143</v>
      </c>
      <c r="B30" t="s">
        <v>1143</v>
      </c>
      <c r="C30" s="2" t="s">
        <v>250</v>
      </c>
      <c r="E30">
        <v>31076.42</v>
      </c>
      <c r="H30">
        <v>1.732</v>
      </c>
      <c r="I30">
        <v>98</v>
      </c>
    </row>
    <row r="31" spans="1:9">
      <c r="A31" t="s">
        <v>2143</v>
      </c>
      <c r="B31" t="s">
        <v>1143</v>
      </c>
      <c r="C31" s="2" t="s">
        <v>248</v>
      </c>
      <c r="E31">
        <v>31124.95</v>
      </c>
      <c r="H31">
        <v>2.6680000000000001</v>
      </c>
      <c r="I31">
        <v>98</v>
      </c>
    </row>
    <row r="32" spans="1:9">
      <c r="A32" t="s">
        <v>2148</v>
      </c>
      <c r="B32" t="s">
        <v>1060</v>
      </c>
      <c r="C32" s="2" t="s">
        <v>249</v>
      </c>
      <c r="E32">
        <v>33825.49</v>
      </c>
      <c r="H32">
        <v>1.6020000000000001</v>
      </c>
      <c r="I32" t="s">
        <v>2149</v>
      </c>
    </row>
    <row r="33" spans="1:9">
      <c r="A33" t="s">
        <v>2148</v>
      </c>
      <c r="B33" t="s">
        <v>1060</v>
      </c>
      <c r="C33" s="2" t="s">
        <v>250</v>
      </c>
      <c r="E33">
        <v>34463.370000000003</v>
      </c>
      <c r="H33">
        <v>1.73</v>
      </c>
      <c r="I33" t="s">
        <v>2149</v>
      </c>
    </row>
    <row r="34" spans="1:9">
      <c r="A34" t="s">
        <v>2148</v>
      </c>
      <c r="B34" t="s">
        <v>1060</v>
      </c>
      <c r="C34" s="2" t="s">
        <v>248</v>
      </c>
      <c r="E34">
        <v>34845.26</v>
      </c>
      <c r="H34">
        <v>2.6549999999999998</v>
      </c>
      <c r="I34" t="s">
        <v>2149</v>
      </c>
    </row>
    <row r="35" spans="1:9">
      <c r="A35" t="s">
        <v>2150</v>
      </c>
      <c r="B35" t="s">
        <v>1056</v>
      </c>
      <c r="C35" s="2" t="s">
        <v>720</v>
      </c>
      <c r="E35">
        <v>34138.879999999997</v>
      </c>
      <c r="H35">
        <v>1.2310000000000001</v>
      </c>
      <c r="I35">
        <v>100</v>
      </c>
    </row>
    <row r="36" spans="1:9">
      <c r="A36" t="s">
        <v>2150</v>
      </c>
      <c r="B36" t="s">
        <v>1056</v>
      </c>
      <c r="C36" s="2" t="s">
        <v>1702</v>
      </c>
      <c r="E36">
        <v>34250.519999999997</v>
      </c>
      <c r="H36">
        <v>1.135</v>
      </c>
      <c r="I36">
        <v>100</v>
      </c>
    </row>
    <row r="37" spans="1:9">
      <c r="A37" t="s">
        <v>2150</v>
      </c>
      <c r="B37" t="s">
        <v>1056</v>
      </c>
      <c r="C37" s="2" t="s">
        <v>252</v>
      </c>
      <c r="E37">
        <v>34343.9</v>
      </c>
      <c r="H37">
        <v>0.97099999999999997</v>
      </c>
      <c r="I37">
        <v>100</v>
      </c>
    </row>
    <row r="38" spans="1:9">
      <c r="A38" t="s">
        <v>2150</v>
      </c>
      <c r="B38" t="s">
        <v>1056</v>
      </c>
      <c r="C38" s="2" t="s">
        <v>251</v>
      </c>
      <c r="E38">
        <v>34423.269999999997</v>
      </c>
      <c r="H38">
        <v>0.66500000000000004</v>
      </c>
      <c r="I38">
        <v>100</v>
      </c>
    </row>
    <row r="39" spans="1:9">
      <c r="A39" t="s">
        <v>2151</v>
      </c>
      <c r="B39" t="s">
        <v>1034</v>
      </c>
      <c r="C39" s="2" t="s">
        <v>252</v>
      </c>
      <c r="E39">
        <v>34938.699999999997</v>
      </c>
      <c r="H39">
        <v>1.3280000000000001</v>
      </c>
      <c r="I39" t="s">
        <v>2152</v>
      </c>
    </row>
    <row r="40" spans="1:9">
      <c r="A40" t="s">
        <v>2151</v>
      </c>
      <c r="B40" t="s">
        <v>1034</v>
      </c>
      <c r="C40" s="2" t="s">
        <v>251</v>
      </c>
      <c r="E40">
        <v>35041.370000000003</v>
      </c>
      <c r="H40">
        <v>1.238</v>
      </c>
      <c r="I40" t="s">
        <v>2153</v>
      </c>
    </row>
    <row r="41" spans="1:9">
      <c r="A41" t="s">
        <v>2151</v>
      </c>
      <c r="B41" t="s">
        <v>1034</v>
      </c>
      <c r="C41" s="2" t="s">
        <v>249</v>
      </c>
      <c r="E41">
        <v>35114.980000000003</v>
      </c>
      <c r="H41">
        <v>1.024</v>
      </c>
      <c r="I41" t="s">
        <v>2153</v>
      </c>
    </row>
    <row r="42" spans="1:9">
      <c r="A42" t="s">
        <v>2151</v>
      </c>
      <c r="B42" t="s">
        <v>1034</v>
      </c>
      <c r="C42" s="2" t="s">
        <v>250</v>
      </c>
      <c r="E42">
        <v>35165.050000000003</v>
      </c>
      <c r="H42">
        <v>0.43</v>
      </c>
      <c r="I42" t="s">
        <v>2154</v>
      </c>
    </row>
    <row r="43" spans="1:9">
      <c r="A43" t="s">
        <v>2155</v>
      </c>
      <c r="B43" t="s">
        <v>1182</v>
      </c>
      <c r="C43" s="2" t="s">
        <v>250</v>
      </c>
      <c r="E43">
        <v>35689.980000000003</v>
      </c>
      <c r="H43">
        <v>2.4</v>
      </c>
      <c r="I43" t="s">
        <v>2156</v>
      </c>
    </row>
    <row r="44" spans="1:9">
      <c r="A44" t="s">
        <v>2155</v>
      </c>
      <c r="B44" t="s">
        <v>1182</v>
      </c>
      <c r="C44" s="2" t="s">
        <v>249</v>
      </c>
      <c r="E44">
        <v>35725.85</v>
      </c>
      <c r="H44">
        <v>1.8859999999999999</v>
      </c>
      <c r="I44" t="s">
        <v>2157</v>
      </c>
    </row>
    <row r="45" spans="1:9">
      <c r="A45" t="s">
        <v>2155</v>
      </c>
      <c r="B45" t="s">
        <v>1182</v>
      </c>
      <c r="C45" s="2" t="s">
        <v>251</v>
      </c>
      <c r="E45">
        <v>35769.97</v>
      </c>
      <c r="H45">
        <v>1.712</v>
      </c>
      <c r="I45" t="s">
        <v>2158</v>
      </c>
    </row>
    <row r="46" spans="1:9">
      <c r="A46" t="s">
        <v>2141</v>
      </c>
      <c r="B46" t="s">
        <v>2159</v>
      </c>
      <c r="C46" s="2" t="s">
        <v>1702</v>
      </c>
      <c r="E46">
        <v>37148.660000000003</v>
      </c>
      <c r="H46">
        <v>0.94</v>
      </c>
      <c r="I46" t="s">
        <v>2160</v>
      </c>
    </row>
    <row r="47" spans="1:9">
      <c r="A47" t="s">
        <v>2141</v>
      </c>
      <c r="B47" t="s">
        <v>2159</v>
      </c>
      <c r="C47" s="2" t="s">
        <v>720</v>
      </c>
      <c r="E47">
        <v>37164.25</v>
      </c>
      <c r="I47">
        <v>100</v>
      </c>
    </row>
    <row r="48" spans="1:9">
      <c r="A48" t="s">
        <v>2161</v>
      </c>
      <c r="B48" t="s">
        <v>2162</v>
      </c>
      <c r="C48" s="2" t="s">
        <v>1702</v>
      </c>
      <c r="E48">
        <v>37420.239999999998</v>
      </c>
      <c r="H48">
        <v>1.2629999999999999</v>
      </c>
      <c r="I48" t="s">
        <v>2163</v>
      </c>
    </row>
    <row r="49" spans="1:9">
      <c r="A49" t="s">
        <v>2161</v>
      </c>
      <c r="B49" t="s">
        <v>2162</v>
      </c>
      <c r="C49" s="2" t="s">
        <v>252</v>
      </c>
      <c r="E49">
        <v>37630.620000000003</v>
      </c>
      <c r="H49">
        <v>1.163</v>
      </c>
      <c r="I49" t="s">
        <v>2164</v>
      </c>
    </row>
    <row r="50" spans="1:9">
      <c r="A50" t="s">
        <v>2161</v>
      </c>
      <c r="B50" t="s">
        <v>2162</v>
      </c>
      <c r="C50" s="2" t="s">
        <v>251</v>
      </c>
      <c r="E50">
        <v>37737.22</v>
      </c>
      <c r="H50">
        <v>0.98899999999999999</v>
      </c>
      <c r="I50" t="s">
        <v>2165</v>
      </c>
    </row>
    <row r="51" spans="1:9">
      <c r="A51" t="s">
        <v>2161</v>
      </c>
      <c r="B51" t="s">
        <v>2162</v>
      </c>
      <c r="C51" s="2" t="s">
        <v>249</v>
      </c>
      <c r="E51">
        <v>37789.93</v>
      </c>
      <c r="H51">
        <v>0.59</v>
      </c>
      <c r="I51" t="s">
        <v>2165</v>
      </c>
    </row>
    <row r="52" spans="1:9">
      <c r="A52" t="s">
        <v>2148</v>
      </c>
      <c r="B52" t="s">
        <v>1050</v>
      </c>
      <c r="C52" s="2" t="s">
        <v>250</v>
      </c>
      <c r="E52">
        <v>37586.03</v>
      </c>
      <c r="I52" t="s">
        <v>2166</v>
      </c>
    </row>
    <row r="53" spans="1:9">
      <c r="A53" t="s">
        <v>2148</v>
      </c>
      <c r="B53" t="s">
        <v>1050</v>
      </c>
      <c r="C53" s="2" t="s">
        <v>248</v>
      </c>
      <c r="E53">
        <v>38351.78</v>
      </c>
      <c r="H53">
        <v>0.67500000000000004</v>
      </c>
      <c r="I53" t="s">
        <v>2167</v>
      </c>
    </row>
    <row r="54" spans="1:9">
      <c r="A54" t="s">
        <v>2150</v>
      </c>
      <c r="B54" t="s">
        <v>1064</v>
      </c>
      <c r="C54" s="2" t="s">
        <v>1702</v>
      </c>
      <c r="E54">
        <v>38008.699999999997</v>
      </c>
      <c r="H54">
        <v>1.0980000000000001</v>
      </c>
      <c r="I54" t="s">
        <v>2168</v>
      </c>
    </row>
    <row r="55" spans="1:9">
      <c r="A55" t="s">
        <v>2150</v>
      </c>
      <c r="B55" t="s">
        <v>1064</v>
      </c>
      <c r="C55" s="2" t="s">
        <v>252</v>
      </c>
      <c r="E55">
        <v>38120.18</v>
      </c>
      <c r="H55">
        <v>0.91400000000000003</v>
      </c>
      <c r="I55" t="s">
        <v>2169</v>
      </c>
    </row>
    <row r="56" spans="1:9">
      <c r="A56" t="s">
        <v>2151</v>
      </c>
      <c r="B56" t="s">
        <v>1091</v>
      </c>
      <c r="C56" s="2" t="s">
        <v>251</v>
      </c>
      <c r="E56">
        <v>38669.599999999999</v>
      </c>
      <c r="H56">
        <v>1.1279999999999999</v>
      </c>
      <c r="I56" t="s">
        <v>2170</v>
      </c>
    </row>
    <row r="57" spans="1:9">
      <c r="A57" t="s">
        <v>2151</v>
      </c>
      <c r="B57" t="s">
        <v>1091</v>
      </c>
      <c r="C57" s="2" t="s">
        <v>249</v>
      </c>
      <c r="E57">
        <v>38934.94</v>
      </c>
      <c r="I57" t="s">
        <v>2171</v>
      </c>
    </row>
    <row r="58" spans="1:9">
      <c r="A58" t="s">
        <v>2172</v>
      </c>
      <c r="B58" t="s">
        <v>2173</v>
      </c>
      <c r="C58" s="2" t="s">
        <v>251</v>
      </c>
      <c r="E58">
        <v>39431.31</v>
      </c>
      <c r="H58">
        <v>2</v>
      </c>
      <c r="I58" t="s">
        <v>2174</v>
      </c>
    </row>
    <row r="59" spans="1:9">
      <c r="A59" t="s">
        <v>2161</v>
      </c>
      <c r="B59" t="s">
        <v>1047</v>
      </c>
      <c r="C59" s="2" t="s">
        <v>252</v>
      </c>
      <c r="E59">
        <v>41031.480000000003</v>
      </c>
      <c r="H59">
        <v>1.1180000000000001</v>
      </c>
      <c r="I59" t="s">
        <v>2175</v>
      </c>
    </row>
    <row r="60" spans="1:9">
      <c r="A60" t="s">
        <v>2161</v>
      </c>
      <c r="B60" t="s">
        <v>1047</v>
      </c>
      <c r="C60" s="2" t="s">
        <v>251</v>
      </c>
      <c r="E60">
        <v>41230.300000000003</v>
      </c>
      <c r="H60">
        <v>0.88</v>
      </c>
      <c r="I60" t="s">
        <v>2176</v>
      </c>
    </row>
    <row r="61" spans="1:9">
      <c r="A61" t="s">
        <v>2172</v>
      </c>
      <c r="B61" t="s">
        <v>2177</v>
      </c>
      <c r="C61" s="2" t="s">
        <v>249</v>
      </c>
      <c r="E61">
        <v>41403.93</v>
      </c>
      <c r="H61">
        <v>1.9970000000000001</v>
      </c>
      <c r="I61" t="s">
        <v>2174</v>
      </c>
    </row>
    <row r="62" spans="1:9">
      <c r="A62" t="s">
        <v>2178</v>
      </c>
      <c r="B62" t="s">
        <v>1075</v>
      </c>
      <c r="C62" s="2" t="s">
        <v>252</v>
      </c>
      <c r="E62">
        <v>41789.480000000003</v>
      </c>
      <c r="H62">
        <v>1.556</v>
      </c>
      <c r="I62" t="s">
        <v>2179</v>
      </c>
    </row>
    <row r="63" spans="1:9">
      <c r="A63" t="s">
        <v>2178</v>
      </c>
      <c r="B63" t="s">
        <v>1075</v>
      </c>
      <c r="C63" s="2" t="s">
        <v>251</v>
      </c>
      <c r="E63">
        <v>41932.639999999999</v>
      </c>
      <c r="H63">
        <v>1.587</v>
      </c>
      <c r="I63" t="s">
        <v>2180</v>
      </c>
    </row>
    <row r="64" spans="1:9">
      <c r="A64" t="s">
        <v>2178</v>
      </c>
      <c r="B64" t="s">
        <v>1075</v>
      </c>
      <c r="C64" s="2" t="s">
        <v>249</v>
      </c>
      <c r="E64">
        <v>42053.73</v>
      </c>
      <c r="H64">
        <v>1.653</v>
      </c>
      <c r="I64" t="s">
        <v>2179</v>
      </c>
    </row>
    <row r="65" spans="1:9">
      <c r="A65" t="s">
        <v>2178</v>
      </c>
      <c r="B65" t="s">
        <v>1075</v>
      </c>
      <c r="C65" s="2" t="s">
        <v>250</v>
      </c>
      <c r="E65">
        <v>42143.57</v>
      </c>
      <c r="H65">
        <v>1.867</v>
      </c>
      <c r="I65" t="s">
        <v>2181</v>
      </c>
    </row>
    <row r="66" spans="1:9">
      <c r="A66" t="s">
        <v>2178</v>
      </c>
      <c r="B66" t="s">
        <v>1075</v>
      </c>
      <c r="C66" s="2" t="s">
        <v>248</v>
      </c>
      <c r="E66">
        <v>42198.559999999998</v>
      </c>
      <c r="H66">
        <v>3.3170000000000002</v>
      </c>
      <c r="I66" t="s">
        <v>2180</v>
      </c>
    </row>
    <row r="67" spans="1:9">
      <c r="A67" t="s">
        <v>2182</v>
      </c>
      <c r="B67" t="s">
        <v>2183</v>
      </c>
      <c r="C67" s="2" t="s">
        <v>720</v>
      </c>
      <c r="E67">
        <v>43053.3</v>
      </c>
      <c r="H67">
        <v>1.07</v>
      </c>
      <c r="I67">
        <v>100</v>
      </c>
    </row>
    <row r="68" spans="1:9">
      <c r="A68" t="s">
        <v>2182</v>
      </c>
      <c r="B68" t="s">
        <v>2183</v>
      </c>
      <c r="C68" s="2" t="s">
        <v>1702</v>
      </c>
      <c r="E68">
        <v>43139.27</v>
      </c>
      <c r="H68">
        <v>0.92400000000000004</v>
      </c>
      <c r="I68">
        <v>100</v>
      </c>
    </row>
    <row r="69" spans="1:9">
      <c r="A69" t="s">
        <v>2178</v>
      </c>
      <c r="B69" t="s">
        <v>1080</v>
      </c>
      <c r="C69" s="2" t="s">
        <v>1702</v>
      </c>
      <c r="E69">
        <v>43314.23</v>
      </c>
      <c r="H69">
        <v>1.464</v>
      </c>
      <c r="I69" t="s">
        <v>2184</v>
      </c>
    </row>
    <row r="70" spans="1:9">
      <c r="A70" t="s">
        <v>2178</v>
      </c>
      <c r="B70" t="s">
        <v>1080</v>
      </c>
      <c r="C70" s="2" t="s">
        <v>252</v>
      </c>
      <c r="E70">
        <v>43428.58</v>
      </c>
      <c r="H70">
        <v>1.431</v>
      </c>
      <c r="I70" t="s">
        <v>2185</v>
      </c>
    </row>
    <row r="71" spans="1:9">
      <c r="A71" t="s">
        <v>2178</v>
      </c>
      <c r="B71" t="s">
        <v>1080</v>
      </c>
      <c r="C71" s="2" t="s">
        <v>251</v>
      </c>
      <c r="E71">
        <v>43524.08</v>
      </c>
      <c r="H71">
        <v>1.395</v>
      </c>
      <c r="I71" t="s">
        <v>2186</v>
      </c>
    </row>
    <row r="72" spans="1:9">
      <c r="A72" t="s">
        <v>2178</v>
      </c>
      <c r="B72" t="s">
        <v>1080</v>
      </c>
      <c r="C72" s="2" t="s">
        <v>249</v>
      </c>
      <c r="E72">
        <v>43595.5</v>
      </c>
      <c r="H72">
        <v>1.31</v>
      </c>
      <c r="I72" t="s">
        <v>2185</v>
      </c>
    </row>
    <row r="73" spans="1:9">
      <c r="A73" t="s">
        <v>2178</v>
      </c>
      <c r="B73" t="s">
        <v>1080</v>
      </c>
      <c r="C73" s="2" t="s">
        <v>250</v>
      </c>
      <c r="E73">
        <v>43644.45</v>
      </c>
      <c r="H73">
        <v>1.0680000000000001</v>
      </c>
      <c r="I73" t="s">
        <v>2186</v>
      </c>
    </row>
    <row r="74" spans="1:9">
      <c r="A74" t="s">
        <v>2178</v>
      </c>
      <c r="B74" t="s">
        <v>1080</v>
      </c>
      <c r="C74" s="2" t="s">
        <v>248</v>
      </c>
      <c r="E74">
        <v>43672.66</v>
      </c>
      <c r="H74">
        <v>-0.60199999999999998</v>
      </c>
      <c r="I74" t="s">
        <v>2187</v>
      </c>
    </row>
    <row r="75" spans="1:9">
      <c r="A75" t="s">
        <v>2178</v>
      </c>
      <c r="B75" t="s">
        <v>1124</v>
      </c>
      <c r="C75" s="2" t="s">
        <v>252</v>
      </c>
      <c r="E75">
        <v>44288.76</v>
      </c>
      <c r="H75">
        <v>1.3169999999999999</v>
      </c>
      <c r="I75" t="s">
        <v>2188</v>
      </c>
    </row>
    <row r="76" spans="1:9">
      <c r="A76" t="s">
        <v>2178</v>
      </c>
      <c r="B76" t="s">
        <v>1124</v>
      </c>
      <c r="C76" s="2" t="s">
        <v>251</v>
      </c>
      <c r="E76">
        <v>44523.45</v>
      </c>
      <c r="H76">
        <v>1.24</v>
      </c>
      <c r="I76" t="s">
        <v>2189</v>
      </c>
    </row>
    <row r="77" spans="1:9">
      <c r="A77" t="s">
        <v>2178</v>
      </c>
      <c r="B77" t="s">
        <v>1124</v>
      </c>
      <c r="C77" s="2" t="s">
        <v>249</v>
      </c>
      <c r="E77">
        <v>44696.29</v>
      </c>
      <c r="H77">
        <v>1.03</v>
      </c>
      <c r="I77" t="s">
        <v>2190</v>
      </c>
    </row>
    <row r="78" spans="1:9">
      <c r="A78" t="s">
        <v>2178</v>
      </c>
      <c r="B78" t="s">
        <v>1124</v>
      </c>
      <c r="C78" s="2" t="s">
        <v>250</v>
      </c>
      <c r="E78">
        <v>44814.73</v>
      </c>
      <c r="H78">
        <v>0.4</v>
      </c>
      <c r="I78" t="s">
        <v>2191</v>
      </c>
    </row>
    <row r="79" spans="1:9">
      <c r="A79" t="s">
        <v>2178</v>
      </c>
      <c r="B79" t="s">
        <v>2192</v>
      </c>
      <c r="C79" s="2" t="s">
        <v>251</v>
      </c>
      <c r="E79">
        <v>44993.919999999998</v>
      </c>
      <c r="H79">
        <v>1.7170000000000001</v>
      </c>
      <c r="I79" t="s">
        <v>2193</v>
      </c>
    </row>
    <row r="80" spans="1:9">
      <c r="A80" t="s">
        <v>2178</v>
      </c>
      <c r="B80" t="s">
        <v>2192</v>
      </c>
      <c r="C80" s="2" t="s">
        <v>249</v>
      </c>
      <c r="E80">
        <v>45156.11</v>
      </c>
      <c r="H80">
        <v>1.885</v>
      </c>
      <c r="I80" t="s">
        <v>2194</v>
      </c>
    </row>
    <row r="81" spans="1:9">
      <c r="A81" t="s">
        <v>2178</v>
      </c>
      <c r="B81" t="s">
        <v>2192</v>
      </c>
      <c r="C81" s="2" t="s">
        <v>250</v>
      </c>
      <c r="E81">
        <v>45259.17</v>
      </c>
      <c r="H81">
        <v>2.399</v>
      </c>
      <c r="I81" t="s">
        <v>2195</v>
      </c>
    </row>
    <row r="82" spans="1:9">
      <c r="A82" t="s">
        <v>2178</v>
      </c>
      <c r="B82" t="s">
        <v>1098</v>
      </c>
      <c r="C82" s="2" t="s">
        <v>251</v>
      </c>
      <c r="E82">
        <v>45754.27</v>
      </c>
      <c r="H82">
        <v>1.427</v>
      </c>
      <c r="I82" t="s">
        <v>2196</v>
      </c>
    </row>
    <row r="83" spans="1:9">
      <c r="A83" t="s">
        <v>2178</v>
      </c>
      <c r="B83" t="s">
        <v>1098</v>
      </c>
      <c r="C83" s="2" t="s">
        <v>249</v>
      </c>
      <c r="E83">
        <v>45940.93</v>
      </c>
      <c r="H83">
        <v>1.3720000000000001</v>
      </c>
      <c r="I83">
        <v>92</v>
      </c>
    </row>
    <row r="84" spans="1:9">
      <c r="A84" t="s">
        <v>2178</v>
      </c>
      <c r="B84" t="s">
        <v>1098</v>
      </c>
      <c r="C84" s="2" t="s">
        <v>250</v>
      </c>
      <c r="E84">
        <v>46083.89</v>
      </c>
      <c r="H84">
        <v>1.2</v>
      </c>
      <c r="I84">
        <v>92</v>
      </c>
    </row>
    <row r="85" spans="1:9">
      <c r="A85" t="s">
        <v>2178</v>
      </c>
      <c r="B85" t="s">
        <v>1098</v>
      </c>
      <c r="C85" s="2" t="s">
        <v>248</v>
      </c>
      <c r="E85">
        <v>46169.93</v>
      </c>
      <c r="H85">
        <v>0</v>
      </c>
      <c r="I85">
        <v>93</v>
      </c>
    </row>
    <row r="86" spans="1:9">
      <c r="A86" t="s">
        <v>2197</v>
      </c>
      <c r="B86" t="s">
        <v>2198</v>
      </c>
      <c r="C86" s="2" t="s">
        <v>249</v>
      </c>
      <c r="E86">
        <v>45981.440000000002</v>
      </c>
      <c r="I86" t="s">
        <v>2174</v>
      </c>
    </row>
    <row r="87" spans="1:9">
      <c r="A87" t="s">
        <v>2197</v>
      </c>
      <c r="B87" t="s">
        <v>2198</v>
      </c>
      <c r="C87" s="2" t="s">
        <v>251</v>
      </c>
      <c r="E87">
        <v>46000.77</v>
      </c>
      <c r="I87" t="s">
        <v>2174</v>
      </c>
    </row>
    <row r="88" spans="1:9">
      <c r="A88" t="s">
        <v>2197</v>
      </c>
      <c r="B88" t="s">
        <v>2198</v>
      </c>
      <c r="C88" s="2" t="s">
        <v>252</v>
      </c>
      <c r="E88">
        <v>46026.75</v>
      </c>
      <c r="I88" t="s">
        <v>2174</v>
      </c>
    </row>
    <row r="89" spans="1:9">
      <c r="A89" t="s">
        <v>2199</v>
      </c>
      <c r="B89" t="s">
        <v>2200</v>
      </c>
      <c r="C89" s="2" t="s">
        <v>250</v>
      </c>
      <c r="E89">
        <v>46706.09</v>
      </c>
      <c r="I89" t="s">
        <v>2174</v>
      </c>
    </row>
    <row r="90" spans="1:9">
      <c r="A90" t="s">
        <v>2199</v>
      </c>
      <c r="B90" t="s">
        <v>2200</v>
      </c>
      <c r="C90" s="2" t="s">
        <v>249</v>
      </c>
      <c r="E90">
        <v>46707.03</v>
      </c>
      <c r="I90" t="s">
        <v>2174</v>
      </c>
    </row>
    <row r="91" spans="1:9">
      <c r="A91" t="s">
        <v>2199</v>
      </c>
      <c r="B91" t="s">
        <v>2200</v>
      </c>
      <c r="C91" s="2" t="s">
        <v>251</v>
      </c>
      <c r="E91">
        <v>46708.33</v>
      </c>
      <c r="I91" t="s">
        <v>2174</v>
      </c>
    </row>
    <row r="92" spans="1:9">
      <c r="A92" t="s">
        <v>2199</v>
      </c>
      <c r="B92" t="s">
        <v>2200</v>
      </c>
      <c r="C92" s="2" t="s">
        <v>252</v>
      </c>
      <c r="E92">
        <v>46710.15</v>
      </c>
      <c r="I92" t="s">
        <v>2174</v>
      </c>
    </row>
    <row r="93" spans="1:9">
      <c r="A93" t="s">
        <v>2199</v>
      </c>
      <c r="B93" t="s">
        <v>2200</v>
      </c>
      <c r="C93" s="2" t="s">
        <v>1702</v>
      </c>
      <c r="E93">
        <v>46712.58</v>
      </c>
      <c r="I93" t="s">
        <v>2174</v>
      </c>
    </row>
    <row r="94" spans="1:9">
      <c r="A94" t="s">
        <v>2178</v>
      </c>
      <c r="B94" t="s">
        <v>1184</v>
      </c>
      <c r="C94" s="2" t="s">
        <v>249</v>
      </c>
      <c r="E94">
        <v>46901.13</v>
      </c>
      <c r="H94">
        <v>1.595</v>
      </c>
      <c r="I94">
        <v>92</v>
      </c>
    </row>
    <row r="95" spans="1:9">
      <c r="A95" t="s">
        <v>2178</v>
      </c>
      <c r="B95" t="s">
        <v>1184</v>
      </c>
      <c r="C95" s="2" t="s">
        <v>250</v>
      </c>
      <c r="E95">
        <v>47154.51</v>
      </c>
      <c r="H95">
        <v>1.732</v>
      </c>
      <c r="I95">
        <v>91</v>
      </c>
    </row>
    <row r="96" spans="1:9">
      <c r="A96" t="s">
        <v>2178</v>
      </c>
      <c r="B96" t="s">
        <v>1184</v>
      </c>
      <c r="C96" s="2" t="s">
        <v>248</v>
      </c>
      <c r="E96">
        <v>47299.29</v>
      </c>
      <c r="H96">
        <v>2.6659999999999999</v>
      </c>
      <c r="I96">
        <v>91</v>
      </c>
    </row>
    <row r="97" spans="1:9">
      <c r="A97" t="s">
        <v>2199</v>
      </c>
      <c r="B97" t="s">
        <v>1309</v>
      </c>
      <c r="C97" s="2" t="s">
        <v>252</v>
      </c>
      <c r="E97">
        <v>47207.28</v>
      </c>
      <c r="H97">
        <v>1.554</v>
      </c>
      <c r="I97" t="s">
        <v>2174</v>
      </c>
    </row>
    <row r="98" spans="1:9">
      <c r="A98" t="s">
        <v>2199</v>
      </c>
      <c r="B98" t="s">
        <v>1309</v>
      </c>
      <c r="C98" s="2" t="s">
        <v>251</v>
      </c>
      <c r="E98">
        <v>47212.06</v>
      </c>
      <c r="H98">
        <v>1.581</v>
      </c>
      <c r="I98" t="s">
        <v>2174</v>
      </c>
    </row>
    <row r="99" spans="1:9">
      <c r="A99" t="s">
        <v>2199</v>
      </c>
      <c r="B99" t="s">
        <v>1309</v>
      </c>
      <c r="C99" s="2" t="s">
        <v>249</v>
      </c>
      <c r="E99">
        <v>47215.61</v>
      </c>
      <c r="H99">
        <v>1.6339999999999999</v>
      </c>
      <c r="I99" t="s">
        <v>2174</v>
      </c>
    </row>
    <row r="100" spans="1:9">
      <c r="A100" t="s">
        <v>2199</v>
      </c>
      <c r="B100" t="s">
        <v>1309</v>
      </c>
      <c r="C100" s="2" t="s">
        <v>250</v>
      </c>
      <c r="E100">
        <v>47218.15</v>
      </c>
      <c r="H100">
        <v>1.7589999999999999</v>
      </c>
      <c r="I100" t="s">
        <v>2174</v>
      </c>
    </row>
    <row r="101" spans="1:9">
      <c r="A101" t="s">
        <v>2199</v>
      </c>
      <c r="B101" t="s">
        <v>1309</v>
      </c>
      <c r="C101" s="2" t="s">
        <v>248</v>
      </c>
      <c r="E101">
        <v>47219.64</v>
      </c>
      <c r="H101">
        <v>3.9340000000000002</v>
      </c>
      <c r="I101" t="s">
        <v>2174</v>
      </c>
    </row>
    <row r="102" spans="1:9">
      <c r="A102" t="s">
        <v>2197</v>
      </c>
      <c r="B102" t="s">
        <v>2201</v>
      </c>
      <c r="C102" s="2" t="s">
        <v>251</v>
      </c>
      <c r="E102">
        <v>47387.62</v>
      </c>
      <c r="H102">
        <v>1.7130000000000001</v>
      </c>
      <c r="I102" t="s">
        <v>2174</v>
      </c>
    </row>
    <row r="103" spans="1:9">
      <c r="A103" t="s">
        <v>2197</v>
      </c>
      <c r="B103" t="s">
        <v>2201</v>
      </c>
      <c r="C103" s="2" t="s">
        <v>249</v>
      </c>
      <c r="E103">
        <v>47659.519999999997</v>
      </c>
      <c r="H103">
        <v>1.952</v>
      </c>
      <c r="I103" t="s">
        <v>2174</v>
      </c>
    </row>
    <row r="104" spans="1:9">
      <c r="A104" t="s">
        <v>2197</v>
      </c>
      <c r="B104" t="s">
        <v>2201</v>
      </c>
      <c r="C104" s="2" t="s">
        <v>250</v>
      </c>
      <c r="E104">
        <v>47782.43</v>
      </c>
      <c r="H104">
        <v>2.6659999999999999</v>
      </c>
      <c r="I104" t="s">
        <v>2174</v>
      </c>
    </row>
    <row r="105" spans="1:9">
      <c r="A105" t="s">
        <v>2202</v>
      </c>
      <c r="B105" t="s">
        <v>1168</v>
      </c>
      <c r="C105" s="2" t="s">
        <v>248</v>
      </c>
      <c r="E105">
        <v>47452.160000000003</v>
      </c>
      <c r="H105">
        <v>3.1739999999999999</v>
      </c>
      <c r="I105" t="s">
        <v>2203</v>
      </c>
    </row>
    <row r="106" spans="1:9">
      <c r="A106" t="s">
        <v>2202</v>
      </c>
      <c r="B106" t="s">
        <v>1168</v>
      </c>
      <c r="C106" s="2" t="s">
        <v>250</v>
      </c>
      <c r="E106">
        <v>47466.66</v>
      </c>
      <c r="I106" t="s">
        <v>2204</v>
      </c>
    </row>
    <row r="107" spans="1:9">
      <c r="A107" t="s">
        <v>2202</v>
      </c>
      <c r="B107" t="s">
        <v>1168</v>
      </c>
      <c r="C107" s="2" t="s">
        <v>249</v>
      </c>
      <c r="E107">
        <v>47753.99</v>
      </c>
      <c r="H107">
        <v>1.82</v>
      </c>
      <c r="I107" t="s">
        <v>2203</v>
      </c>
    </row>
    <row r="108" spans="1:9">
      <c r="A108" t="s">
        <v>2202</v>
      </c>
      <c r="B108" t="s">
        <v>1168</v>
      </c>
      <c r="C108" s="2" t="s">
        <v>251</v>
      </c>
      <c r="E108">
        <v>47774.52</v>
      </c>
      <c r="H108">
        <v>1.5940000000000001</v>
      </c>
      <c r="I108" t="s">
        <v>2205</v>
      </c>
    </row>
    <row r="109" spans="1:9">
      <c r="A109" t="s">
        <v>2202</v>
      </c>
      <c r="B109" t="s">
        <v>1168</v>
      </c>
      <c r="C109" s="2" t="s">
        <v>252</v>
      </c>
      <c r="E109">
        <v>47903.8</v>
      </c>
      <c r="H109">
        <v>1.54</v>
      </c>
      <c r="I109" t="s">
        <v>2206</v>
      </c>
    </row>
    <row r="110" spans="1:9">
      <c r="A110" t="s">
        <v>2207</v>
      </c>
      <c r="B110" t="s">
        <v>1149</v>
      </c>
      <c r="C110" s="2" t="s">
        <v>1702</v>
      </c>
      <c r="E110">
        <v>48021.43</v>
      </c>
      <c r="H110">
        <v>1.46</v>
      </c>
      <c r="I110" t="s">
        <v>2208</v>
      </c>
    </row>
    <row r="111" spans="1:9">
      <c r="A111" t="s">
        <v>2207</v>
      </c>
      <c r="B111" t="s">
        <v>1149</v>
      </c>
      <c r="C111" s="2" t="s">
        <v>252</v>
      </c>
      <c r="E111">
        <v>48168.01</v>
      </c>
      <c r="H111">
        <v>1.4319999999999999</v>
      </c>
      <c r="I111" t="s">
        <v>2209</v>
      </c>
    </row>
    <row r="112" spans="1:9">
      <c r="A112" t="s">
        <v>2207</v>
      </c>
      <c r="B112" t="s">
        <v>1149</v>
      </c>
      <c r="C112" s="2" t="s">
        <v>251</v>
      </c>
      <c r="E112">
        <v>48225.99</v>
      </c>
      <c r="H112">
        <v>1.403</v>
      </c>
      <c r="I112" t="s">
        <v>2210</v>
      </c>
    </row>
    <row r="113" spans="1:9">
      <c r="A113" t="s">
        <v>2207</v>
      </c>
      <c r="B113" t="s">
        <v>1149</v>
      </c>
      <c r="C113" s="2" t="s">
        <v>249</v>
      </c>
      <c r="E113">
        <v>48270.91</v>
      </c>
      <c r="H113">
        <v>1.319</v>
      </c>
      <c r="I113" t="s">
        <v>2211</v>
      </c>
    </row>
    <row r="114" spans="1:9">
      <c r="A114" t="s">
        <v>2207</v>
      </c>
      <c r="B114" t="s">
        <v>1149</v>
      </c>
      <c r="C114" s="2" t="s">
        <v>250</v>
      </c>
      <c r="E114">
        <v>48300.98</v>
      </c>
      <c r="H114">
        <v>1.0680000000000001</v>
      </c>
      <c r="I114" t="s">
        <v>2212</v>
      </c>
    </row>
    <row r="115" spans="1:9">
      <c r="A115" t="s">
        <v>2207</v>
      </c>
      <c r="B115" t="s">
        <v>1149</v>
      </c>
      <c r="C115" s="2" t="s">
        <v>248</v>
      </c>
      <c r="E115">
        <v>48318.12</v>
      </c>
      <c r="H115">
        <v>-0.496</v>
      </c>
      <c r="I115" t="s">
        <v>2213</v>
      </c>
    </row>
    <row r="116" spans="1:9">
      <c r="A116" t="s">
        <v>2214</v>
      </c>
      <c r="B116" t="s">
        <v>2215</v>
      </c>
      <c r="C116" s="2" t="s">
        <v>249</v>
      </c>
      <c r="E116">
        <v>49415.35</v>
      </c>
      <c r="H116">
        <v>2</v>
      </c>
      <c r="I116" t="s">
        <v>2174</v>
      </c>
    </row>
    <row r="117" spans="1:9">
      <c r="A117" t="s">
        <v>2214</v>
      </c>
      <c r="B117" t="s">
        <v>2216</v>
      </c>
      <c r="C117" s="2" t="s">
        <v>250</v>
      </c>
      <c r="E117">
        <v>49591.51</v>
      </c>
      <c r="H117">
        <v>1.998</v>
      </c>
      <c r="I117" t="s">
        <v>2174</v>
      </c>
    </row>
    <row r="118" spans="1:9">
      <c r="A118" t="s">
        <v>2202</v>
      </c>
      <c r="B118" t="s">
        <v>2217</v>
      </c>
      <c r="C118" s="2" t="s">
        <v>251</v>
      </c>
      <c r="E118">
        <v>49888.01</v>
      </c>
      <c r="H118">
        <v>1.7110000000000001</v>
      </c>
      <c r="I118" t="s">
        <v>2218</v>
      </c>
    </row>
    <row r="119" spans="1:9">
      <c r="A119" t="s">
        <v>2202</v>
      </c>
      <c r="B119" t="s">
        <v>2217</v>
      </c>
      <c r="C119" s="2" t="s">
        <v>249</v>
      </c>
      <c r="E119">
        <v>50012.5</v>
      </c>
      <c r="H119">
        <v>1.8879999999999999</v>
      </c>
      <c r="I119" t="s">
        <v>2219</v>
      </c>
    </row>
    <row r="120" spans="1:9">
      <c r="A120" t="s">
        <v>2202</v>
      </c>
      <c r="B120" t="s">
        <v>2217</v>
      </c>
      <c r="C120" s="2" t="s">
        <v>250</v>
      </c>
      <c r="E120">
        <v>50099.03</v>
      </c>
      <c r="H120">
        <v>2.3980000000000001</v>
      </c>
      <c r="I120" t="s">
        <v>2220</v>
      </c>
    </row>
    <row r="121" spans="1:9">
      <c r="A121" t="s">
        <v>2207</v>
      </c>
      <c r="B121" t="s">
        <v>1229</v>
      </c>
      <c r="C121" s="2" t="s">
        <v>251</v>
      </c>
      <c r="E121">
        <v>50065.46</v>
      </c>
      <c r="I121">
        <v>97</v>
      </c>
    </row>
    <row r="122" spans="1:9">
      <c r="A122" t="s">
        <v>2207</v>
      </c>
      <c r="B122" t="s">
        <v>1229</v>
      </c>
      <c r="C122" s="2" t="s">
        <v>252</v>
      </c>
      <c r="E122">
        <v>50072.59</v>
      </c>
      <c r="I122">
        <v>96</v>
      </c>
    </row>
    <row r="123" spans="1:9">
      <c r="A123" t="s">
        <v>2207</v>
      </c>
      <c r="B123" t="s">
        <v>1229</v>
      </c>
      <c r="C123" s="2" t="s">
        <v>1702</v>
      </c>
      <c r="E123">
        <v>50081.31</v>
      </c>
      <c r="I123">
        <v>97</v>
      </c>
    </row>
    <row r="124" spans="1:9">
      <c r="A124" t="s">
        <v>2207</v>
      </c>
      <c r="B124" t="s">
        <v>1229</v>
      </c>
      <c r="C124" s="2" t="s">
        <v>720</v>
      </c>
      <c r="E124">
        <v>50094.6</v>
      </c>
      <c r="H124">
        <v>1.22</v>
      </c>
      <c r="I124">
        <v>98</v>
      </c>
    </row>
    <row r="125" spans="1:9">
      <c r="A125" t="s">
        <v>2221</v>
      </c>
      <c r="B125" t="s">
        <v>2222</v>
      </c>
      <c r="C125" s="2" t="s">
        <v>251</v>
      </c>
      <c r="E125">
        <v>50157.63</v>
      </c>
      <c r="H125">
        <v>1.9950000000000001</v>
      </c>
      <c r="I125" t="s">
        <v>2174</v>
      </c>
    </row>
    <row r="126" spans="1:9">
      <c r="A126" t="s">
        <v>2207</v>
      </c>
      <c r="B126" t="s">
        <v>1152</v>
      </c>
      <c r="C126" s="2" t="s">
        <v>252</v>
      </c>
      <c r="E126">
        <v>50341.3</v>
      </c>
      <c r="H126">
        <v>1.3180000000000001</v>
      </c>
      <c r="I126">
        <v>93</v>
      </c>
    </row>
    <row r="127" spans="1:9">
      <c r="A127" t="s">
        <v>2207</v>
      </c>
      <c r="B127" t="s">
        <v>1152</v>
      </c>
      <c r="C127" s="2" t="s">
        <v>251</v>
      </c>
      <c r="E127">
        <v>50359.28</v>
      </c>
      <c r="H127">
        <v>1.242</v>
      </c>
      <c r="I127">
        <v>92</v>
      </c>
    </row>
    <row r="128" spans="1:9">
      <c r="A128" t="s">
        <v>2207</v>
      </c>
      <c r="B128" t="s">
        <v>1152</v>
      </c>
      <c r="C128" s="2" t="s">
        <v>249</v>
      </c>
      <c r="E128">
        <v>50373.23</v>
      </c>
      <c r="H128">
        <v>1.03</v>
      </c>
      <c r="I128">
        <v>92</v>
      </c>
    </row>
    <row r="129" spans="1:9">
      <c r="A129" t="s">
        <v>2207</v>
      </c>
      <c r="B129" t="s">
        <v>1152</v>
      </c>
      <c r="C129" s="2" t="s">
        <v>250</v>
      </c>
      <c r="E129">
        <v>50383.27</v>
      </c>
      <c r="I129">
        <v>93</v>
      </c>
    </row>
    <row r="130" spans="1:9">
      <c r="A130" t="s">
        <v>2223</v>
      </c>
      <c r="B130" t="s">
        <v>2224</v>
      </c>
      <c r="C130" s="2" t="s">
        <v>248</v>
      </c>
      <c r="E130">
        <v>50818.64</v>
      </c>
      <c r="H130">
        <v>-0.62</v>
      </c>
      <c r="I130" t="s">
        <v>2225</v>
      </c>
    </row>
    <row r="131" spans="1:9">
      <c r="A131" t="s">
        <v>2223</v>
      </c>
      <c r="B131" t="s">
        <v>2224</v>
      </c>
      <c r="C131" s="2" t="s">
        <v>250</v>
      </c>
      <c r="E131">
        <v>50863.5</v>
      </c>
      <c r="H131">
        <v>1.07</v>
      </c>
      <c r="I131">
        <v>92</v>
      </c>
    </row>
    <row r="132" spans="1:9">
      <c r="A132" t="s">
        <v>2223</v>
      </c>
      <c r="B132" t="s">
        <v>2224</v>
      </c>
      <c r="C132" s="2" t="s">
        <v>249</v>
      </c>
      <c r="E132">
        <v>50931.29</v>
      </c>
      <c r="H132">
        <v>1.3160000000000001</v>
      </c>
      <c r="I132">
        <v>93</v>
      </c>
    </row>
    <row r="133" spans="1:9">
      <c r="A133" t="s">
        <v>2223</v>
      </c>
      <c r="B133" t="s">
        <v>2224</v>
      </c>
      <c r="C133" s="2" t="s">
        <v>251</v>
      </c>
      <c r="E133">
        <v>51014.94</v>
      </c>
      <c r="I133">
        <v>93</v>
      </c>
    </row>
    <row r="134" spans="1:9">
      <c r="A134" t="s">
        <v>2223</v>
      </c>
      <c r="B134" t="s">
        <v>2224</v>
      </c>
      <c r="C134" s="2" t="s">
        <v>252</v>
      </c>
      <c r="E134">
        <v>51100.49</v>
      </c>
      <c r="I134">
        <v>93</v>
      </c>
    </row>
    <row r="135" spans="1:9">
      <c r="A135" t="s">
        <v>2223</v>
      </c>
      <c r="B135" t="s">
        <v>2224</v>
      </c>
      <c r="C135" s="2" t="s">
        <v>1702</v>
      </c>
      <c r="E135">
        <v>51169.18</v>
      </c>
      <c r="I135">
        <v>94</v>
      </c>
    </row>
    <row r="136" spans="1:9">
      <c r="A136" t="s">
        <v>2221</v>
      </c>
      <c r="B136" t="s">
        <v>2226</v>
      </c>
      <c r="C136" s="2" t="s">
        <v>249</v>
      </c>
      <c r="E136">
        <v>50904.68</v>
      </c>
      <c r="I136" t="s">
        <v>2174</v>
      </c>
    </row>
    <row r="137" spans="1:9">
      <c r="A137" t="s">
        <v>2202</v>
      </c>
      <c r="B137" t="s">
        <v>1289</v>
      </c>
      <c r="C137" s="2" t="s">
        <v>249</v>
      </c>
      <c r="E137">
        <v>51305.31</v>
      </c>
      <c r="H137">
        <v>1.591</v>
      </c>
      <c r="I137" t="s">
        <v>2227</v>
      </c>
    </row>
    <row r="138" spans="1:9">
      <c r="A138" t="s">
        <v>2202</v>
      </c>
      <c r="B138" t="s">
        <v>1289</v>
      </c>
      <c r="C138" s="2" t="s">
        <v>250</v>
      </c>
      <c r="E138">
        <v>51445.55</v>
      </c>
      <c r="H138">
        <v>1.728</v>
      </c>
      <c r="I138" t="s">
        <v>2228</v>
      </c>
    </row>
    <row r="139" spans="1:9">
      <c r="A139" t="s">
        <v>2202</v>
      </c>
      <c r="B139" t="s">
        <v>1289</v>
      </c>
      <c r="C139" s="2" t="s">
        <v>248</v>
      </c>
      <c r="E139">
        <v>51552.78</v>
      </c>
      <c r="H139">
        <v>2.6640000000000001</v>
      </c>
      <c r="I139" t="s">
        <v>2229</v>
      </c>
    </row>
    <row r="140" spans="1:9">
      <c r="A140" t="s">
        <v>2207</v>
      </c>
      <c r="B140" t="s">
        <v>1115</v>
      </c>
      <c r="C140" s="2" t="s">
        <v>249</v>
      </c>
      <c r="E140">
        <v>51515.63</v>
      </c>
      <c r="I140">
        <v>93</v>
      </c>
    </row>
    <row r="141" spans="1:9">
      <c r="A141" t="s">
        <v>2207</v>
      </c>
      <c r="B141" t="s">
        <v>1115</v>
      </c>
      <c r="C141" s="2" t="s">
        <v>251</v>
      </c>
      <c r="E141">
        <v>51530.61</v>
      </c>
      <c r="I141">
        <v>92</v>
      </c>
    </row>
    <row r="142" spans="1:9">
      <c r="A142" t="s">
        <v>2207</v>
      </c>
      <c r="B142" t="s">
        <v>1115</v>
      </c>
      <c r="C142" s="2" t="s">
        <v>252</v>
      </c>
      <c r="E142">
        <v>51546.27</v>
      </c>
      <c r="I142">
        <v>93</v>
      </c>
    </row>
    <row r="143" spans="1:9">
      <c r="A143" t="s">
        <v>2207</v>
      </c>
      <c r="B143" t="s">
        <v>1115</v>
      </c>
      <c r="C143" s="2" t="s">
        <v>1702</v>
      </c>
      <c r="E143">
        <v>51560.93</v>
      </c>
      <c r="H143">
        <v>1.2729999999999999</v>
      </c>
      <c r="I143">
        <v>93</v>
      </c>
    </row>
    <row r="144" spans="1:9">
      <c r="A144" t="s">
        <v>2230</v>
      </c>
      <c r="B144" t="s">
        <v>2231</v>
      </c>
      <c r="C144" s="2" t="s">
        <v>249</v>
      </c>
      <c r="E144">
        <v>51638.17</v>
      </c>
      <c r="H144">
        <v>1.601</v>
      </c>
      <c r="I144" t="s">
        <v>2232</v>
      </c>
    </row>
    <row r="145" spans="1:9">
      <c r="A145" t="s">
        <v>2230</v>
      </c>
      <c r="B145" t="s">
        <v>2231</v>
      </c>
      <c r="C145" s="2" t="s">
        <v>250</v>
      </c>
      <c r="E145">
        <v>51718.22</v>
      </c>
      <c r="H145">
        <v>1.7330000000000001</v>
      </c>
      <c r="I145" t="s">
        <v>2233</v>
      </c>
    </row>
    <row r="146" spans="1:9">
      <c r="A146" t="s">
        <v>2230</v>
      </c>
      <c r="B146" t="s">
        <v>2231</v>
      </c>
      <c r="C146" s="2" t="s">
        <v>248</v>
      </c>
      <c r="E146">
        <v>51787.92</v>
      </c>
      <c r="H146">
        <v>2.65</v>
      </c>
      <c r="I146" t="s">
        <v>2234</v>
      </c>
    </row>
    <row r="147" spans="1:9">
      <c r="A147" t="s">
        <v>2223</v>
      </c>
      <c r="B147" t="s">
        <v>2235</v>
      </c>
      <c r="C147" s="2" t="s">
        <v>250</v>
      </c>
      <c r="E147">
        <v>52014.98</v>
      </c>
      <c r="I147" t="s">
        <v>2236</v>
      </c>
    </row>
    <row r="148" spans="1:9">
      <c r="A148" t="s">
        <v>2223</v>
      </c>
      <c r="B148" t="s">
        <v>2235</v>
      </c>
      <c r="C148" s="2" t="s">
        <v>249</v>
      </c>
      <c r="E148">
        <v>52128.58</v>
      </c>
      <c r="I148" t="s">
        <v>2237</v>
      </c>
    </row>
    <row r="149" spans="1:9">
      <c r="A149" t="s">
        <v>2223</v>
      </c>
      <c r="B149" t="s">
        <v>2235</v>
      </c>
      <c r="C149" s="2" t="s">
        <v>251</v>
      </c>
      <c r="E149">
        <v>52253.17</v>
      </c>
      <c r="H149">
        <v>1.71</v>
      </c>
      <c r="I149" t="s">
        <v>2238</v>
      </c>
    </row>
    <row r="150" spans="1:9">
      <c r="A150" t="s">
        <v>2239</v>
      </c>
      <c r="B150" t="s">
        <v>2240</v>
      </c>
      <c r="C150" s="2" t="s">
        <v>249</v>
      </c>
      <c r="E150">
        <v>52490</v>
      </c>
      <c r="I150" t="s">
        <v>2174</v>
      </c>
    </row>
    <row r="151" spans="1:9">
      <c r="A151" t="s">
        <v>2239</v>
      </c>
      <c r="B151" t="s">
        <v>2240</v>
      </c>
      <c r="C151" s="2" t="s">
        <v>251</v>
      </c>
      <c r="E151">
        <v>52497.21</v>
      </c>
      <c r="I151" t="s">
        <v>2174</v>
      </c>
    </row>
    <row r="152" spans="1:9">
      <c r="A152" t="s">
        <v>2241</v>
      </c>
      <c r="B152" t="s">
        <v>2242</v>
      </c>
      <c r="C152" s="2" t="s">
        <v>250</v>
      </c>
      <c r="E152">
        <v>52702.48</v>
      </c>
      <c r="F152" t="s">
        <v>34</v>
      </c>
      <c r="I152" t="s">
        <v>2174</v>
      </c>
    </row>
    <row r="153" spans="1:9">
      <c r="A153" t="s">
        <v>2241</v>
      </c>
      <c r="B153" t="s">
        <v>2242</v>
      </c>
      <c r="C153" s="2" t="s">
        <v>249</v>
      </c>
      <c r="E153">
        <v>52702.48</v>
      </c>
      <c r="F153" t="s">
        <v>34</v>
      </c>
      <c r="I153" t="s">
        <v>2174</v>
      </c>
    </row>
    <row r="154" spans="1:9">
      <c r="A154" t="s">
        <v>2241</v>
      </c>
      <c r="B154" t="s">
        <v>2242</v>
      </c>
      <c r="C154" s="2" t="s">
        <v>251</v>
      </c>
      <c r="E154">
        <v>52702.48</v>
      </c>
      <c r="F154" t="s">
        <v>34</v>
      </c>
      <c r="I154" t="s">
        <v>2174</v>
      </c>
    </row>
    <row r="155" spans="1:9">
      <c r="A155" t="s">
        <v>2241</v>
      </c>
      <c r="B155" t="s">
        <v>2242</v>
      </c>
      <c r="C155" s="2" t="s">
        <v>252</v>
      </c>
      <c r="E155">
        <v>52703.1</v>
      </c>
      <c r="I155" t="s">
        <v>2174</v>
      </c>
    </row>
    <row r="156" spans="1:9">
      <c r="A156" t="s">
        <v>2241</v>
      </c>
      <c r="B156" t="s">
        <v>2242</v>
      </c>
      <c r="C156" s="2" t="s">
        <v>1702</v>
      </c>
      <c r="E156">
        <v>52705.23</v>
      </c>
      <c r="I156" t="s">
        <v>2174</v>
      </c>
    </row>
    <row r="157" spans="1:9">
      <c r="A157" t="s">
        <v>2241</v>
      </c>
      <c r="B157" t="s">
        <v>1463</v>
      </c>
      <c r="C157" s="2" t="s">
        <v>252</v>
      </c>
      <c r="E157">
        <v>52726.39</v>
      </c>
      <c r="I157" t="s">
        <v>2174</v>
      </c>
    </row>
    <row r="158" spans="1:9">
      <c r="A158" t="s">
        <v>2241</v>
      </c>
      <c r="B158" t="s">
        <v>1463</v>
      </c>
      <c r="C158" s="2" t="s">
        <v>251</v>
      </c>
      <c r="E158">
        <v>52730.41</v>
      </c>
      <c r="I158" t="s">
        <v>2174</v>
      </c>
    </row>
    <row r="159" spans="1:9">
      <c r="A159" t="s">
        <v>2241</v>
      </c>
      <c r="B159" t="s">
        <v>1463</v>
      </c>
      <c r="C159" s="2" t="s">
        <v>249</v>
      </c>
      <c r="E159">
        <v>52733.22</v>
      </c>
      <c r="I159" t="s">
        <v>2174</v>
      </c>
    </row>
    <row r="160" spans="1:9">
      <c r="A160" t="s">
        <v>2241</v>
      </c>
      <c r="B160" t="s">
        <v>1463</v>
      </c>
      <c r="C160" s="2" t="s">
        <v>250</v>
      </c>
      <c r="E160">
        <v>52735.01</v>
      </c>
      <c r="I160" t="s">
        <v>2174</v>
      </c>
    </row>
    <row r="161" spans="1:9">
      <c r="A161" t="s">
        <v>2241</v>
      </c>
      <c r="B161" t="s">
        <v>1463</v>
      </c>
      <c r="C161" s="2" t="s">
        <v>248</v>
      </c>
      <c r="E161">
        <v>52735.83</v>
      </c>
      <c r="I161" t="s">
        <v>2174</v>
      </c>
    </row>
    <row r="162" spans="1:9">
      <c r="A162" t="s">
        <v>2223</v>
      </c>
      <c r="B162" t="s">
        <v>1179</v>
      </c>
      <c r="C162" s="2" t="s">
        <v>252</v>
      </c>
      <c r="E162">
        <v>52758.11</v>
      </c>
      <c r="H162">
        <v>1.552</v>
      </c>
      <c r="I162" t="s">
        <v>2243</v>
      </c>
    </row>
    <row r="163" spans="1:9">
      <c r="A163" t="s">
        <v>2223</v>
      </c>
      <c r="B163" t="s">
        <v>1179</v>
      </c>
      <c r="C163" s="2" t="s">
        <v>251</v>
      </c>
      <c r="E163">
        <v>52869.99</v>
      </c>
      <c r="H163">
        <v>1.57</v>
      </c>
      <c r="I163" t="s">
        <v>2244</v>
      </c>
    </row>
    <row r="164" spans="1:9">
      <c r="A164" t="s">
        <v>2223</v>
      </c>
      <c r="B164" t="s">
        <v>1179</v>
      </c>
      <c r="C164" s="2" t="s">
        <v>248</v>
      </c>
      <c r="E164">
        <v>52883.1</v>
      </c>
      <c r="I164" t="s">
        <v>2245</v>
      </c>
    </row>
    <row r="165" spans="1:9">
      <c r="A165" t="s">
        <v>2223</v>
      </c>
      <c r="B165" t="s">
        <v>1179</v>
      </c>
      <c r="C165" s="2" t="s">
        <v>249</v>
      </c>
      <c r="E165">
        <v>52883.79</v>
      </c>
      <c r="I165" t="s">
        <v>2246</v>
      </c>
    </row>
    <row r="166" spans="1:9">
      <c r="A166" t="s">
        <v>2223</v>
      </c>
      <c r="B166" t="s">
        <v>1179</v>
      </c>
      <c r="C166" s="2" t="s">
        <v>250</v>
      </c>
      <c r="E166">
        <v>52883.79</v>
      </c>
      <c r="I166" t="s">
        <v>2247</v>
      </c>
    </row>
    <row r="167" spans="1:9">
      <c r="A167" t="s">
        <v>2248</v>
      </c>
      <c r="B167" t="s">
        <v>2249</v>
      </c>
      <c r="C167" s="2" t="s">
        <v>248</v>
      </c>
      <c r="E167">
        <v>52974.5</v>
      </c>
      <c r="F167" t="s">
        <v>34</v>
      </c>
      <c r="I167" t="s">
        <v>2174</v>
      </c>
    </row>
    <row r="168" spans="1:9">
      <c r="A168" t="s">
        <v>2248</v>
      </c>
      <c r="B168" t="s">
        <v>2249</v>
      </c>
      <c r="C168" s="2" t="s">
        <v>250</v>
      </c>
      <c r="E168">
        <v>52974.5</v>
      </c>
      <c r="F168" t="s">
        <v>34</v>
      </c>
      <c r="I168" t="s">
        <v>2174</v>
      </c>
    </row>
    <row r="169" spans="1:9">
      <c r="A169" t="s">
        <v>2248</v>
      </c>
      <c r="B169" t="s">
        <v>2249</v>
      </c>
      <c r="C169" s="2" t="s">
        <v>249</v>
      </c>
      <c r="E169">
        <v>52974.5</v>
      </c>
      <c r="F169" t="s">
        <v>34</v>
      </c>
      <c r="I169" t="s">
        <v>2174</v>
      </c>
    </row>
    <row r="170" spans="1:9">
      <c r="A170" t="s">
        <v>2248</v>
      </c>
      <c r="B170" t="s">
        <v>2249</v>
      </c>
      <c r="C170" s="2" t="s">
        <v>251</v>
      </c>
      <c r="E170">
        <v>52974.5</v>
      </c>
      <c r="F170" t="s">
        <v>34</v>
      </c>
      <c r="I170" t="s">
        <v>2174</v>
      </c>
    </row>
    <row r="171" spans="1:9">
      <c r="A171" t="s">
        <v>2248</v>
      </c>
      <c r="B171" t="s">
        <v>2249</v>
      </c>
      <c r="C171" s="2" t="s">
        <v>252</v>
      </c>
      <c r="E171">
        <v>52974.5</v>
      </c>
      <c r="F171" t="s">
        <v>34</v>
      </c>
      <c r="I171" t="s">
        <v>2174</v>
      </c>
    </row>
    <row r="172" spans="1:9">
      <c r="A172" t="s">
        <v>2248</v>
      </c>
      <c r="B172" t="s">
        <v>2249</v>
      </c>
      <c r="C172" s="2" t="s">
        <v>1702</v>
      </c>
      <c r="E172">
        <v>52974.5</v>
      </c>
      <c r="F172" t="s">
        <v>34</v>
      </c>
      <c r="I172" t="s">
        <v>2174</v>
      </c>
    </row>
    <row r="173" spans="1:9">
      <c r="A173" t="s">
        <v>2248</v>
      </c>
      <c r="B173" t="s">
        <v>2249</v>
      </c>
      <c r="C173" s="2" t="s">
        <v>720</v>
      </c>
      <c r="E173">
        <v>52974.5</v>
      </c>
      <c r="F173" t="s">
        <v>34</v>
      </c>
      <c r="I173" t="s">
        <v>2174</v>
      </c>
    </row>
    <row r="174" spans="1:9">
      <c r="A174" t="s">
        <v>2248</v>
      </c>
      <c r="B174" t="s">
        <v>2250</v>
      </c>
      <c r="C174" s="2" t="s">
        <v>252</v>
      </c>
      <c r="E174">
        <v>52977.75</v>
      </c>
      <c r="I174" t="s">
        <v>2174</v>
      </c>
    </row>
    <row r="175" spans="1:9">
      <c r="A175" t="s">
        <v>2248</v>
      </c>
      <c r="B175" t="s">
        <v>2250</v>
      </c>
      <c r="C175" s="2" t="s">
        <v>251</v>
      </c>
      <c r="E175">
        <v>52977.82</v>
      </c>
      <c r="I175" t="s">
        <v>2174</v>
      </c>
    </row>
    <row r="176" spans="1:9">
      <c r="A176" t="s">
        <v>2248</v>
      </c>
      <c r="B176" t="s">
        <v>2250</v>
      </c>
      <c r="C176" s="2" t="s">
        <v>1702</v>
      </c>
      <c r="E176">
        <v>52977.89</v>
      </c>
      <c r="I176" t="s">
        <v>2174</v>
      </c>
    </row>
    <row r="177" spans="1:9">
      <c r="A177" t="s">
        <v>2248</v>
      </c>
      <c r="B177" t="s">
        <v>2250</v>
      </c>
      <c r="C177" s="2" t="s">
        <v>250</v>
      </c>
      <c r="E177">
        <v>52977.93</v>
      </c>
      <c r="I177" t="s">
        <v>2174</v>
      </c>
    </row>
    <row r="178" spans="1:9">
      <c r="A178" t="s">
        <v>2248</v>
      </c>
      <c r="B178" t="s">
        <v>2250</v>
      </c>
      <c r="C178" s="2" t="s">
        <v>249</v>
      </c>
      <c r="E178">
        <v>52978.03</v>
      </c>
      <c r="I178" t="s">
        <v>2174</v>
      </c>
    </row>
    <row r="179" spans="1:9">
      <c r="A179" t="s">
        <v>2202</v>
      </c>
      <c r="B179" t="s">
        <v>1161</v>
      </c>
      <c r="C179" s="2" t="s">
        <v>248</v>
      </c>
      <c r="E179">
        <v>53101.32</v>
      </c>
      <c r="I179" t="s">
        <v>2251</v>
      </c>
    </row>
    <row r="180" spans="1:9">
      <c r="A180" t="s">
        <v>2202</v>
      </c>
      <c r="B180" t="s">
        <v>1161</v>
      </c>
      <c r="C180" s="2" t="s">
        <v>250</v>
      </c>
      <c r="E180">
        <v>53103.09</v>
      </c>
      <c r="I180" t="s">
        <v>2252</v>
      </c>
    </row>
    <row r="181" spans="1:9">
      <c r="A181" t="s">
        <v>2202</v>
      </c>
      <c r="B181" t="s">
        <v>1161</v>
      </c>
      <c r="C181" s="2" t="s">
        <v>249</v>
      </c>
      <c r="E181">
        <v>53109.14</v>
      </c>
      <c r="I181" t="s">
        <v>2253</v>
      </c>
    </row>
    <row r="182" spans="1:9">
      <c r="A182" t="s">
        <v>2202</v>
      </c>
      <c r="B182" t="s">
        <v>1161</v>
      </c>
      <c r="C182" s="2" t="s">
        <v>251</v>
      </c>
      <c r="E182">
        <v>53124</v>
      </c>
      <c r="H182">
        <v>1.423</v>
      </c>
      <c r="I182" t="s">
        <v>2254</v>
      </c>
    </row>
    <row r="183" spans="1:9">
      <c r="A183" t="s">
        <v>2239</v>
      </c>
      <c r="B183" t="s">
        <v>2255</v>
      </c>
      <c r="C183" s="2" t="s">
        <v>251</v>
      </c>
      <c r="E183">
        <v>53261.05</v>
      </c>
      <c r="I183" t="s">
        <v>2174</v>
      </c>
    </row>
    <row r="184" spans="1:9">
      <c r="A184" t="s">
        <v>2239</v>
      </c>
      <c r="B184" t="s">
        <v>2255</v>
      </c>
      <c r="C184" s="2" t="s">
        <v>249</v>
      </c>
      <c r="E184">
        <v>53291.3</v>
      </c>
      <c r="I184" t="s">
        <v>2174</v>
      </c>
    </row>
    <row r="185" spans="1:9">
      <c r="A185" t="s">
        <v>2239</v>
      </c>
      <c r="B185" t="s">
        <v>2255</v>
      </c>
      <c r="C185" s="2" t="s">
        <v>250</v>
      </c>
      <c r="E185">
        <v>53311.12</v>
      </c>
      <c r="I185" t="s">
        <v>2174</v>
      </c>
    </row>
    <row r="186" spans="1:9">
      <c r="A186" t="s">
        <v>2202</v>
      </c>
      <c r="B186" t="s">
        <v>2256</v>
      </c>
      <c r="C186" s="2" t="s">
        <v>250</v>
      </c>
      <c r="E186">
        <v>54218.62</v>
      </c>
      <c r="H186">
        <v>1.77</v>
      </c>
      <c r="I186" t="s">
        <v>2257</v>
      </c>
    </row>
    <row r="187" spans="1:9">
      <c r="A187" t="s">
        <v>2258</v>
      </c>
      <c r="B187" t="s">
        <v>2259</v>
      </c>
      <c r="C187" s="2" t="s">
        <v>249</v>
      </c>
      <c r="E187">
        <v>54460.3</v>
      </c>
      <c r="I187" t="s">
        <v>2174</v>
      </c>
    </row>
    <row r="188" spans="1:9">
      <c r="A188" t="s">
        <v>2260</v>
      </c>
      <c r="B188" t="s">
        <v>1589</v>
      </c>
      <c r="C188" s="2" t="s">
        <v>252</v>
      </c>
      <c r="E188">
        <v>54938.94</v>
      </c>
      <c r="I188" t="s">
        <v>2174</v>
      </c>
    </row>
    <row r="189" spans="1:9">
      <c r="A189" t="s">
        <v>2260</v>
      </c>
      <c r="B189" t="s">
        <v>1589</v>
      </c>
      <c r="C189" s="2" t="s">
        <v>251</v>
      </c>
      <c r="E189">
        <v>54946.55</v>
      </c>
      <c r="I189" t="s">
        <v>2174</v>
      </c>
    </row>
    <row r="190" spans="1:9">
      <c r="A190" t="s">
        <v>2260</v>
      </c>
      <c r="B190" t="s">
        <v>1589</v>
      </c>
      <c r="C190" s="2" t="s">
        <v>248</v>
      </c>
      <c r="E190">
        <v>54949.599999999999</v>
      </c>
      <c r="I190" t="s">
        <v>2174</v>
      </c>
    </row>
    <row r="191" spans="1:9">
      <c r="A191" t="s">
        <v>2260</v>
      </c>
      <c r="B191" t="s">
        <v>1589</v>
      </c>
      <c r="C191" s="2" t="s">
        <v>249</v>
      </c>
      <c r="E191">
        <v>54950.81</v>
      </c>
      <c r="I191" t="s">
        <v>2174</v>
      </c>
    </row>
    <row r="192" spans="1:9">
      <c r="A192" t="s">
        <v>2260</v>
      </c>
      <c r="B192" t="s">
        <v>1589</v>
      </c>
      <c r="C192" s="2" t="s">
        <v>250</v>
      </c>
      <c r="E192">
        <v>54953.21</v>
      </c>
      <c r="I192" t="s">
        <v>2174</v>
      </c>
    </row>
    <row r="193" spans="1:9">
      <c r="A193" t="s">
        <v>2223</v>
      </c>
      <c r="B193" t="s">
        <v>1221</v>
      </c>
      <c r="C193" s="2" t="s">
        <v>251</v>
      </c>
      <c r="E193">
        <v>55107.519999999997</v>
      </c>
      <c r="H193">
        <v>1.407</v>
      </c>
      <c r="I193" t="s">
        <v>2261</v>
      </c>
    </row>
    <row r="194" spans="1:9">
      <c r="A194" t="s">
        <v>2223</v>
      </c>
      <c r="B194" t="s">
        <v>1221</v>
      </c>
      <c r="C194" s="2" t="s">
        <v>249</v>
      </c>
      <c r="E194">
        <v>55186.1</v>
      </c>
      <c r="H194">
        <v>1.365</v>
      </c>
      <c r="I194">
        <v>87</v>
      </c>
    </row>
    <row r="195" spans="1:9">
      <c r="A195" t="s">
        <v>2223</v>
      </c>
      <c r="B195" t="s">
        <v>1221</v>
      </c>
      <c r="C195" s="2" t="s">
        <v>250</v>
      </c>
      <c r="E195">
        <v>55279.91</v>
      </c>
      <c r="H195">
        <v>0.82599999999999996</v>
      </c>
      <c r="I195" t="s">
        <v>2262</v>
      </c>
    </row>
    <row r="196" spans="1:9">
      <c r="A196" t="s">
        <v>2263</v>
      </c>
      <c r="B196" t="s">
        <v>2240</v>
      </c>
      <c r="C196" s="2" t="s">
        <v>249</v>
      </c>
      <c r="E196">
        <v>55283.98</v>
      </c>
      <c r="I196" t="s">
        <v>2174</v>
      </c>
    </row>
    <row r="197" spans="1:9">
      <c r="A197" t="s">
        <v>2263</v>
      </c>
      <c r="B197" t="s">
        <v>2240</v>
      </c>
      <c r="C197" s="2" t="s">
        <v>251</v>
      </c>
      <c r="E197">
        <v>55287.59</v>
      </c>
      <c r="I197" t="s">
        <v>2174</v>
      </c>
    </row>
    <row r="198" spans="1:9">
      <c r="A198" t="s">
        <v>2264</v>
      </c>
      <c r="B198" t="s">
        <v>1369</v>
      </c>
      <c r="C198" s="2" t="s">
        <v>250</v>
      </c>
      <c r="E198">
        <v>55368.66</v>
      </c>
      <c r="I198" t="s">
        <v>2174</v>
      </c>
    </row>
    <row r="199" spans="1:9">
      <c r="A199" t="s">
        <v>2264</v>
      </c>
      <c r="B199" t="s">
        <v>1369</v>
      </c>
      <c r="C199" s="2" t="s">
        <v>249</v>
      </c>
      <c r="E199">
        <v>55406</v>
      </c>
      <c r="I199" t="s">
        <v>2174</v>
      </c>
    </row>
    <row r="200" spans="1:9">
      <c r="A200" t="s">
        <v>2264</v>
      </c>
      <c r="B200" t="s">
        <v>1369</v>
      </c>
      <c r="C200" s="2" t="s">
        <v>248</v>
      </c>
      <c r="E200">
        <v>55457.2</v>
      </c>
      <c r="H200">
        <v>2.2799999999999998</v>
      </c>
      <c r="I200" t="s">
        <v>2174</v>
      </c>
    </row>
    <row r="201" spans="1:9">
      <c r="A201" t="s">
        <v>2265</v>
      </c>
      <c r="B201" t="s">
        <v>2266</v>
      </c>
      <c r="C201" s="2" t="s">
        <v>251</v>
      </c>
      <c r="E201">
        <v>55374.76</v>
      </c>
      <c r="I201" t="s">
        <v>2174</v>
      </c>
    </row>
    <row r="202" spans="1:9">
      <c r="A202" t="s">
        <v>2265</v>
      </c>
      <c r="B202" t="s">
        <v>2266</v>
      </c>
      <c r="C202" s="2" t="s">
        <v>252</v>
      </c>
      <c r="E202">
        <v>55375.7</v>
      </c>
      <c r="I202" t="s">
        <v>2174</v>
      </c>
    </row>
    <row r="203" spans="1:9">
      <c r="A203" t="s">
        <v>2265</v>
      </c>
      <c r="B203" t="s">
        <v>2266</v>
      </c>
      <c r="C203" s="2" t="s">
        <v>1702</v>
      </c>
      <c r="E203">
        <v>55376.7</v>
      </c>
      <c r="I203" t="s">
        <v>2174</v>
      </c>
    </row>
    <row r="204" spans="1:9">
      <c r="A204" t="s">
        <v>2267</v>
      </c>
      <c r="B204" t="s">
        <v>2268</v>
      </c>
      <c r="C204" s="2" t="s">
        <v>249</v>
      </c>
      <c r="E204">
        <v>55491.57</v>
      </c>
      <c r="I204" t="s">
        <v>2174</v>
      </c>
    </row>
    <row r="205" spans="1:9">
      <c r="A205" t="s">
        <v>2267</v>
      </c>
      <c r="B205" t="s">
        <v>2268</v>
      </c>
      <c r="C205" s="2" t="s">
        <v>250</v>
      </c>
      <c r="E205">
        <v>55491.95</v>
      </c>
      <c r="I205" t="s">
        <v>2174</v>
      </c>
    </row>
    <row r="206" spans="1:9">
      <c r="A206" t="s">
        <v>2267</v>
      </c>
      <c r="B206" t="s">
        <v>2268</v>
      </c>
      <c r="C206" s="2" t="s">
        <v>251</v>
      </c>
      <c r="E206">
        <v>55492.08</v>
      </c>
      <c r="I206" t="s">
        <v>2174</v>
      </c>
    </row>
    <row r="207" spans="1:9">
      <c r="A207" t="s">
        <v>2267</v>
      </c>
      <c r="B207" t="s">
        <v>2268</v>
      </c>
      <c r="C207" s="2" t="s">
        <v>252</v>
      </c>
      <c r="E207">
        <v>55492.52</v>
      </c>
      <c r="I207" t="s">
        <v>2174</v>
      </c>
    </row>
    <row r="208" spans="1:9">
      <c r="A208" t="s">
        <v>2267</v>
      </c>
      <c r="B208" t="s">
        <v>2268</v>
      </c>
      <c r="C208" s="2" t="s">
        <v>1702</v>
      </c>
      <c r="E208">
        <v>55492.74</v>
      </c>
      <c r="I208" t="s">
        <v>2174</v>
      </c>
    </row>
    <row r="209" spans="1:9">
      <c r="A209" t="s">
        <v>2263</v>
      </c>
      <c r="B209" t="s">
        <v>1481</v>
      </c>
      <c r="C209" s="2" t="s">
        <v>251</v>
      </c>
      <c r="E209">
        <v>55492.41</v>
      </c>
      <c r="I209" t="s">
        <v>2174</v>
      </c>
    </row>
    <row r="210" spans="1:9">
      <c r="A210" t="s">
        <v>2263</v>
      </c>
      <c r="B210" t="s">
        <v>1481</v>
      </c>
      <c r="C210" s="2" t="s">
        <v>249</v>
      </c>
      <c r="E210">
        <v>55493.51</v>
      </c>
      <c r="I210" t="s">
        <v>2174</v>
      </c>
    </row>
    <row r="211" spans="1:9">
      <c r="A211" t="s">
        <v>2267</v>
      </c>
      <c r="B211" t="s">
        <v>2269</v>
      </c>
      <c r="C211" s="2" t="s">
        <v>720</v>
      </c>
      <c r="E211">
        <v>55498.5</v>
      </c>
      <c r="I211" t="s">
        <v>2174</v>
      </c>
    </row>
    <row r="212" spans="1:9">
      <c r="A212" t="s">
        <v>2267</v>
      </c>
      <c r="B212" t="s">
        <v>2269</v>
      </c>
      <c r="C212" s="2" t="s">
        <v>1702</v>
      </c>
      <c r="E212">
        <v>55499.09</v>
      </c>
      <c r="I212" t="s">
        <v>2174</v>
      </c>
    </row>
    <row r="213" spans="1:9">
      <c r="A213" t="s">
        <v>2267</v>
      </c>
      <c r="B213" t="s">
        <v>2269</v>
      </c>
      <c r="C213" s="2" t="s">
        <v>252</v>
      </c>
      <c r="E213">
        <v>55499.09</v>
      </c>
      <c r="I213" t="s">
        <v>2174</v>
      </c>
    </row>
    <row r="214" spans="1:9">
      <c r="A214" t="s">
        <v>2267</v>
      </c>
      <c r="B214" t="s">
        <v>2269</v>
      </c>
      <c r="C214" s="2" t="s">
        <v>251</v>
      </c>
      <c r="E214">
        <v>55499.5</v>
      </c>
      <c r="I214" t="s">
        <v>2174</v>
      </c>
    </row>
    <row r="215" spans="1:9">
      <c r="A215" t="s">
        <v>2267</v>
      </c>
      <c r="B215" t="s">
        <v>2269</v>
      </c>
      <c r="C215" s="2" t="s">
        <v>250</v>
      </c>
      <c r="E215">
        <v>55499.75</v>
      </c>
      <c r="I215" t="s">
        <v>2174</v>
      </c>
    </row>
    <row r="216" spans="1:9">
      <c r="A216" t="s">
        <v>2267</v>
      </c>
      <c r="B216" t="s">
        <v>2269</v>
      </c>
      <c r="C216" s="2" t="s">
        <v>249</v>
      </c>
      <c r="E216">
        <v>55499.9</v>
      </c>
      <c r="I216" t="s">
        <v>2174</v>
      </c>
    </row>
    <row r="217" spans="1:9">
      <c r="A217" t="s">
        <v>2265</v>
      </c>
      <c r="B217" t="s">
        <v>2270</v>
      </c>
      <c r="C217" s="2" t="s">
        <v>252</v>
      </c>
      <c r="E217">
        <v>55681.9</v>
      </c>
      <c r="I217" t="s">
        <v>2174</v>
      </c>
    </row>
    <row r="218" spans="1:9">
      <c r="A218" t="s">
        <v>2265</v>
      </c>
      <c r="B218" t="s">
        <v>2270</v>
      </c>
      <c r="C218" s="2" t="s">
        <v>251</v>
      </c>
      <c r="E218">
        <v>55688.1</v>
      </c>
      <c r="I218" t="s">
        <v>2174</v>
      </c>
    </row>
    <row r="219" spans="1:9">
      <c r="A219" t="s">
        <v>2265</v>
      </c>
      <c r="B219" t="s">
        <v>2270</v>
      </c>
      <c r="C219" s="2" t="s">
        <v>249</v>
      </c>
      <c r="E219">
        <v>55690.8</v>
      </c>
      <c r="I219" t="s">
        <v>2174</v>
      </c>
    </row>
    <row r="220" spans="1:9">
      <c r="A220" t="s">
        <v>2265</v>
      </c>
      <c r="B220" t="s">
        <v>2270</v>
      </c>
      <c r="C220" s="2" t="s">
        <v>250</v>
      </c>
      <c r="E220">
        <v>55691.9</v>
      </c>
      <c r="I220" t="s">
        <v>2174</v>
      </c>
    </row>
    <row r="221" spans="1:9">
      <c r="A221" t="s">
        <v>2265</v>
      </c>
      <c r="B221" t="s">
        <v>2270</v>
      </c>
      <c r="C221" s="2" t="s">
        <v>248</v>
      </c>
      <c r="E221">
        <v>55692.4</v>
      </c>
      <c r="I221" t="s">
        <v>2174</v>
      </c>
    </row>
    <row r="222" spans="1:9">
      <c r="A222" t="s">
        <v>2264</v>
      </c>
      <c r="B222" t="s">
        <v>213</v>
      </c>
      <c r="C222" s="2" t="s">
        <v>249</v>
      </c>
      <c r="E222">
        <v>55923.98</v>
      </c>
      <c r="I222" t="s">
        <v>2174</v>
      </c>
    </row>
    <row r="223" spans="1:9">
      <c r="A223" t="s">
        <v>2264</v>
      </c>
      <c r="B223" t="s">
        <v>213</v>
      </c>
      <c r="C223" s="2" t="s">
        <v>250</v>
      </c>
      <c r="E223">
        <v>55939.27</v>
      </c>
      <c r="I223" t="s">
        <v>2174</v>
      </c>
    </row>
    <row r="224" spans="1:9">
      <c r="A224" t="s">
        <v>2264</v>
      </c>
      <c r="B224" t="s">
        <v>2271</v>
      </c>
      <c r="C224" s="2" t="s">
        <v>250</v>
      </c>
      <c r="E224">
        <v>55996.9</v>
      </c>
      <c r="I224" t="s">
        <v>2174</v>
      </c>
    </row>
    <row r="225" spans="1:9">
      <c r="A225" t="s">
        <v>2264</v>
      </c>
      <c r="B225" t="s">
        <v>2271</v>
      </c>
      <c r="C225" s="2" t="s">
        <v>249</v>
      </c>
      <c r="E225">
        <v>56008.18</v>
      </c>
      <c r="I225" t="s">
        <v>2174</v>
      </c>
    </row>
    <row r="226" spans="1:9">
      <c r="A226" t="s">
        <v>2264</v>
      </c>
      <c r="B226" t="s">
        <v>2271</v>
      </c>
      <c r="C226" s="2" t="s">
        <v>251</v>
      </c>
      <c r="E226">
        <v>56012.61</v>
      </c>
      <c r="I226" t="s">
        <v>2174</v>
      </c>
    </row>
    <row r="227" spans="1:9">
      <c r="A227" t="s">
        <v>2272</v>
      </c>
      <c r="B227" t="s">
        <v>2273</v>
      </c>
      <c r="C227" s="2" t="s">
        <v>251</v>
      </c>
      <c r="E227">
        <v>56144.160000000003</v>
      </c>
      <c r="I227" t="s">
        <v>2174</v>
      </c>
    </row>
    <row r="228" spans="1:9">
      <c r="A228" t="s">
        <v>2274</v>
      </c>
      <c r="B228" t="s">
        <v>2275</v>
      </c>
      <c r="C228" s="2" t="s">
        <v>252</v>
      </c>
      <c r="E228">
        <v>56189.45</v>
      </c>
      <c r="I228" t="s">
        <v>2174</v>
      </c>
    </row>
    <row r="229" spans="1:9">
      <c r="A229" t="s">
        <v>2274</v>
      </c>
      <c r="B229" t="s">
        <v>2275</v>
      </c>
      <c r="C229" s="2" t="s">
        <v>251</v>
      </c>
      <c r="E229">
        <v>56356.21</v>
      </c>
      <c r="H229">
        <v>1.57</v>
      </c>
      <c r="I229" t="s">
        <v>2174</v>
      </c>
    </row>
    <row r="230" spans="1:9">
      <c r="A230" t="s">
        <v>2274</v>
      </c>
      <c r="B230" t="s">
        <v>2275</v>
      </c>
      <c r="C230" s="2" t="s">
        <v>249</v>
      </c>
      <c r="E230">
        <v>56490.79</v>
      </c>
      <c r="I230" t="s">
        <v>2174</v>
      </c>
    </row>
    <row r="231" spans="1:9">
      <c r="A231" t="s">
        <v>2274</v>
      </c>
      <c r="B231" t="s">
        <v>2275</v>
      </c>
      <c r="C231" s="2" t="s">
        <v>250</v>
      </c>
      <c r="E231">
        <v>56567.93</v>
      </c>
      <c r="I231" t="s">
        <v>2174</v>
      </c>
    </row>
    <row r="232" spans="1:9">
      <c r="A232" t="s">
        <v>2274</v>
      </c>
      <c r="B232" t="s">
        <v>2275</v>
      </c>
      <c r="C232" s="2" t="s">
        <v>248</v>
      </c>
      <c r="E232">
        <v>56666.06</v>
      </c>
      <c r="I232" t="s">
        <v>2174</v>
      </c>
    </row>
    <row r="233" spans="1:9">
      <c r="B233" t="s">
        <v>1345</v>
      </c>
      <c r="C233" s="2" t="s">
        <v>251</v>
      </c>
      <c r="E233">
        <v>56462.080000000002</v>
      </c>
      <c r="I233" t="s">
        <v>2174</v>
      </c>
    </row>
    <row r="234" spans="1:9">
      <c r="B234" t="s">
        <v>1345</v>
      </c>
      <c r="C234" s="2" t="s">
        <v>249</v>
      </c>
      <c r="E234">
        <v>56561.95</v>
      </c>
      <c r="I234" t="s">
        <v>2174</v>
      </c>
    </row>
    <row r="235" spans="1:9">
      <c r="B235" t="s">
        <v>1345</v>
      </c>
      <c r="C235" s="2" t="s">
        <v>250</v>
      </c>
      <c r="E235">
        <v>56601.63</v>
      </c>
      <c r="I235" t="s">
        <v>2174</v>
      </c>
    </row>
    <row r="236" spans="1:9">
      <c r="A236" t="s">
        <v>2276</v>
      </c>
      <c r="B236" t="s">
        <v>2240</v>
      </c>
      <c r="C236" s="2" t="s">
        <v>251</v>
      </c>
      <c r="E236">
        <v>56755.58</v>
      </c>
      <c r="I236" t="s">
        <v>2174</v>
      </c>
    </row>
    <row r="237" spans="1:9">
      <c r="A237" t="s">
        <v>2277</v>
      </c>
      <c r="B237" t="s">
        <v>2278</v>
      </c>
      <c r="C237" s="2" t="s">
        <v>250</v>
      </c>
      <c r="E237">
        <v>56801.4</v>
      </c>
      <c r="F237" t="s">
        <v>34</v>
      </c>
      <c r="I237" t="s">
        <v>2174</v>
      </c>
    </row>
    <row r="238" spans="1:9">
      <c r="A238" t="s">
        <v>2277</v>
      </c>
      <c r="B238" t="s">
        <v>2278</v>
      </c>
      <c r="C238" s="2" t="s">
        <v>249</v>
      </c>
      <c r="E238">
        <v>56801.4</v>
      </c>
      <c r="F238" t="s">
        <v>34</v>
      </c>
      <c r="I238" t="s">
        <v>2174</v>
      </c>
    </row>
    <row r="239" spans="1:9">
      <c r="A239" t="s">
        <v>2277</v>
      </c>
      <c r="B239" t="s">
        <v>2278</v>
      </c>
      <c r="C239" s="2" t="s">
        <v>251</v>
      </c>
      <c r="E239">
        <v>56801.4</v>
      </c>
      <c r="F239" t="s">
        <v>34</v>
      </c>
      <c r="I239" t="s">
        <v>2174</v>
      </c>
    </row>
    <row r="240" spans="1:9">
      <c r="A240" t="s">
        <v>2277</v>
      </c>
      <c r="B240" t="s">
        <v>2278</v>
      </c>
      <c r="C240" s="2" t="s">
        <v>252</v>
      </c>
      <c r="E240">
        <v>56801.4</v>
      </c>
      <c r="F240" t="s">
        <v>34</v>
      </c>
      <c r="I240" t="s">
        <v>2174</v>
      </c>
    </row>
    <row r="241" spans="1:9">
      <c r="A241" t="s">
        <v>2277</v>
      </c>
      <c r="B241" t="s">
        <v>2278</v>
      </c>
      <c r="C241" s="2" t="s">
        <v>1702</v>
      </c>
      <c r="E241">
        <v>56801.4</v>
      </c>
      <c r="F241" t="s">
        <v>34</v>
      </c>
      <c r="I241" t="s">
        <v>2174</v>
      </c>
    </row>
    <row r="242" spans="1:9">
      <c r="A242" t="s">
        <v>2279</v>
      </c>
      <c r="B242" t="s">
        <v>2280</v>
      </c>
      <c r="C242" s="2" t="s">
        <v>248</v>
      </c>
      <c r="E242">
        <v>56867.1</v>
      </c>
      <c r="I242" t="s">
        <v>2174</v>
      </c>
    </row>
    <row r="243" spans="1:9">
      <c r="A243" t="s">
        <v>2279</v>
      </c>
      <c r="B243" t="s">
        <v>2280</v>
      </c>
      <c r="C243" s="2" t="s">
        <v>250</v>
      </c>
      <c r="E243">
        <v>56867.1</v>
      </c>
      <c r="I243" t="s">
        <v>2174</v>
      </c>
    </row>
    <row r="244" spans="1:9">
      <c r="A244" t="s">
        <v>2279</v>
      </c>
      <c r="B244" t="s">
        <v>2280</v>
      </c>
      <c r="C244" s="2" t="s">
        <v>249</v>
      </c>
      <c r="E244">
        <v>56867.1</v>
      </c>
      <c r="I244" t="s">
        <v>2174</v>
      </c>
    </row>
    <row r="245" spans="1:9">
      <c r="A245" t="s">
        <v>2279</v>
      </c>
      <c r="B245" t="s">
        <v>2280</v>
      </c>
      <c r="C245" s="2" t="s">
        <v>251</v>
      </c>
      <c r="E245">
        <v>56867.1</v>
      </c>
      <c r="I245" t="s">
        <v>2174</v>
      </c>
    </row>
    <row r="246" spans="1:9">
      <c r="A246" t="s">
        <v>2279</v>
      </c>
      <c r="B246" t="s">
        <v>2280</v>
      </c>
      <c r="C246" s="2" t="s">
        <v>252</v>
      </c>
      <c r="E246">
        <v>56867.1</v>
      </c>
      <c r="I246" t="s">
        <v>2174</v>
      </c>
    </row>
    <row r="247" spans="1:9">
      <c r="A247" t="s">
        <v>2279</v>
      </c>
      <c r="B247" t="s">
        <v>2280</v>
      </c>
      <c r="C247" s="2" t="s">
        <v>1702</v>
      </c>
      <c r="E247">
        <v>56867.1</v>
      </c>
      <c r="I247" t="s">
        <v>2174</v>
      </c>
    </row>
    <row r="248" spans="1:9">
      <c r="A248" t="s">
        <v>2276</v>
      </c>
      <c r="B248" t="s">
        <v>1481</v>
      </c>
      <c r="C248" s="2" t="s">
        <v>251</v>
      </c>
      <c r="E248">
        <v>56926.32</v>
      </c>
      <c r="I248" t="s">
        <v>2174</v>
      </c>
    </row>
    <row r="249" spans="1:9">
      <c r="A249" t="s">
        <v>2276</v>
      </c>
      <c r="B249" t="s">
        <v>1481</v>
      </c>
      <c r="C249" s="2" t="s">
        <v>249</v>
      </c>
      <c r="E249">
        <v>56931.14</v>
      </c>
      <c r="I249" t="s">
        <v>2174</v>
      </c>
    </row>
    <row r="250" spans="1:9">
      <c r="A250" t="s">
        <v>2276</v>
      </c>
      <c r="B250" t="s">
        <v>1481</v>
      </c>
      <c r="C250" s="2" t="s">
        <v>250</v>
      </c>
      <c r="E250">
        <v>56934.17</v>
      </c>
      <c r="I250" t="s">
        <v>2174</v>
      </c>
    </row>
    <row r="251" spans="1:9">
      <c r="A251" t="s">
        <v>2281</v>
      </c>
      <c r="B251" t="s">
        <v>2282</v>
      </c>
      <c r="C251" s="2" t="s">
        <v>249</v>
      </c>
      <c r="E251">
        <v>57086.33</v>
      </c>
      <c r="H251">
        <v>2.27</v>
      </c>
      <c r="I251" t="s">
        <v>2174</v>
      </c>
    </row>
    <row r="252" spans="1:9">
      <c r="A252" t="s">
        <v>2281</v>
      </c>
      <c r="B252" t="s">
        <v>2282</v>
      </c>
      <c r="C252" s="2" t="s">
        <v>251</v>
      </c>
      <c r="E252">
        <v>57218.15</v>
      </c>
      <c r="I252" t="s">
        <v>2174</v>
      </c>
    </row>
    <row r="253" spans="1:9">
      <c r="A253" t="s">
        <v>2281</v>
      </c>
      <c r="B253" t="s">
        <v>2282</v>
      </c>
      <c r="C253" s="2" t="s">
        <v>252</v>
      </c>
      <c r="E253">
        <v>57388.9</v>
      </c>
      <c r="H253">
        <v>1.7669999999999999</v>
      </c>
      <c r="I253" t="s">
        <v>2174</v>
      </c>
    </row>
    <row r="254" spans="1:9">
      <c r="A254" t="s">
        <v>2223</v>
      </c>
      <c r="B254" t="s">
        <v>1423</v>
      </c>
      <c r="C254" s="2" t="s">
        <v>248</v>
      </c>
      <c r="E254">
        <v>57228.3</v>
      </c>
      <c r="H254">
        <v>2.6709999999999998</v>
      </c>
      <c r="I254" t="s">
        <v>2283</v>
      </c>
    </row>
    <row r="255" spans="1:9">
      <c r="A255" t="s">
        <v>2223</v>
      </c>
      <c r="B255" t="s">
        <v>1423</v>
      </c>
      <c r="C255" s="2" t="s">
        <v>250</v>
      </c>
      <c r="E255">
        <v>57360.73</v>
      </c>
      <c r="H255">
        <v>1.736</v>
      </c>
      <c r="I255" t="s">
        <v>2284</v>
      </c>
    </row>
    <row r="256" spans="1:9">
      <c r="A256" t="s">
        <v>2223</v>
      </c>
      <c r="B256" t="s">
        <v>1423</v>
      </c>
      <c r="C256" s="2" t="s">
        <v>249</v>
      </c>
      <c r="E256">
        <v>57487.05</v>
      </c>
      <c r="H256">
        <v>1.59</v>
      </c>
      <c r="I256" t="s">
        <v>2283</v>
      </c>
    </row>
    <row r="257" spans="1:9">
      <c r="A257" t="s">
        <v>2274</v>
      </c>
      <c r="B257" t="s">
        <v>2285</v>
      </c>
      <c r="C257" s="2" t="s">
        <v>251</v>
      </c>
      <c r="E257">
        <v>57305.62</v>
      </c>
      <c r="I257" t="s">
        <v>2174</v>
      </c>
    </row>
    <row r="258" spans="1:9">
      <c r="A258" t="s">
        <v>2274</v>
      </c>
      <c r="B258" t="s">
        <v>2285</v>
      </c>
      <c r="C258" s="2" t="s">
        <v>249</v>
      </c>
      <c r="E258">
        <v>57485.97</v>
      </c>
      <c r="H258">
        <v>1.3720000000000001</v>
      </c>
      <c r="I258" t="s">
        <v>2174</v>
      </c>
    </row>
    <row r="259" spans="1:9">
      <c r="A259" t="s">
        <v>2274</v>
      </c>
      <c r="B259" t="s">
        <v>2285</v>
      </c>
      <c r="C259" s="2" t="s">
        <v>250</v>
      </c>
      <c r="E259">
        <v>57621.9</v>
      </c>
      <c r="I259" t="s">
        <v>2174</v>
      </c>
    </row>
    <row r="260" spans="1:9">
      <c r="A260" t="s">
        <v>2274</v>
      </c>
      <c r="B260" t="s">
        <v>2285</v>
      </c>
      <c r="C260" s="2" t="s">
        <v>248</v>
      </c>
      <c r="E260">
        <v>57705.83</v>
      </c>
      <c r="I260" t="s">
        <v>2174</v>
      </c>
    </row>
    <row r="261" spans="1:9">
      <c r="A261" t="s">
        <v>2286</v>
      </c>
      <c r="B261" t="s">
        <v>1282</v>
      </c>
      <c r="C261" s="2" t="s">
        <v>250</v>
      </c>
      <c r="E261">
        <v>57512.08</v>
      </c>
      <c r="H261">
        <v>2</v>
      </c>
      <c r="I261" t="s">
        <v>2287</v>
      </c>
    </row>
    <row r="262" spans="1:9">
      <c r="A262" t="s">
        <v>2288</v>
      </c>
      <c r="B262" t="s">
        <v>2240</v>
      </c>
      <c r="C262" s="2" t="s">
        <v>249</v>
      </c>
      <c r="E262">
        <v>57623.33</v>
      </c>
      <c r="I262" t="s">
        <v>2174</v>
      </c>
    </row>
    <row r="263" spans="1:9">
      <c r="A263" t="s">
        <v>2288</v>
      </c>
      <c r="B263" t="s">
        <v>2240</v>
      </c>
      <c r="C263" s="2" t="s">
        <v>251</v>
      </c>
      <c r="E263">
        <v>57624.65</v>
      </c>
      <c r="I263" t="s">
        <v>2174</v>
      </c>
    </row>
    <row r="264" spans="1:9">
      <c r="A264" t="s">
        <v>2289</v>
      </c>
      <c r="B264" t="s">
        <v>2290</v>
      </c>
      <c r="C264" s="2" t="s">
        <v>248</v>
      </c>
      <c r="E264">
        <v>57697.2</v>
      </c>
      <c r="I264" t="s">
        <v>2174</v>
      </c>
    </row>
    <row r="265" spans="1:9">
      <c r="A265" t="s">
        <v>2289</v>
      </c>
      <c r="B265" t="s">
        <v>2290</v>
      </c>
      <c r="C265" s="2" t="s">
        <v>250</v>
      </c>
      <c r="E265">
        <v>57697.2</v>
      </c>
      <c r="I265" t="s">
        <v>2174</v>
      </c>
    </row>
    <row r="266" spans="1:9">
      <c r="A266" t="s">
        <v>2289</v>
      </c>
      <c r="B266" t="s">
        <v>2290</v>
      </c>
      <c r="C266" s="2" t="s">
        <v>249</v>
      </c>
      <c r="E266">
        <v>57697.2</v>
      </c>
      <c r="I266" t="s">
        <v>2174</v>
      </c>
    </row>
    <row r="267" spans="1:9">
      <c r="A267" t="s">
        <v>2289</v>
      </c>
      <c r="B267" t="s">
        <v>2290</v>
      </c>
      <c r="C267" s="2" t="s">
        <v>251</v>
      </c>
      <c r="E267">
        <v>57697.2</v>
      </c>
      <c r="I267" t="s">
        <v>2174</v>
      </c>
    </row>
    <row r="268" spans="1:9">
      <c r="A268" t="s">
        <v>2289</v>
      </c>
      <c r="B268" t="s">
        <v>2290</v>
      </c>
      <c r="C268" s="2" t="s">
        <v>252</v>
      </c>
      <c r="E268">
        <v>57697.2</v>
      </c>
      <c r="I268" t="s">
        <v>2174</v>
      </c>
    </row>
    <row r="269" spans="1:9">
      <c r="A269" t="s">
        <v>2289</v>
      </c>
      <c r="B269" t="s">
        <v>2290</v>
      </c>
      <c r="C269" s="2" t="s">
        <v>1702</v>
      </c>
      <c r="E269">
        <v>57697.2</v>
      </c>
      <c r="I269" t="s">
        <v>2174</v>
      </c>
    </row>
    <row r="270" spans="1:9">
      <c r="A270" t="s">
        <v>2288</v>
      </c>
      <c r="B270" t="s">
        <v>1481</v>
      </c>
      <c r="C270" s="2" t="s">
        <v>251</v>
      </c>
      <c r="E270">
        <v>57716.7</v>
      </c>
      <c r="I270" t="s">
        <v>2174</v>
      </c>
    </row>
    <row r="271" spans="1:9">
      <c r="A271" t="s">
        <v>2288</v>
      </c>
      <c r="B271" t="s">
        <v>1481</v>
      </c>
      <c r="C271" s="2" t="s">
        <v>249</v>
      </c>
      <c r="E271">
        <v>57719.7</v>
      </c>
      <c r="I271" t="s">
        <v>2174</v>
      </c>
    </row>
    <row r="272" spans="1:9">
      <c r="A272" t="s">
        <v>2288</v>
      </c>
      <c r="B272" t="s">
        <v>1481</v>
      </c>
      <c r="C272" s="2" t="s">
        <v>250</v>
      </c>
      <c r="E272">
        <v>57722.04</v>
      </c>
      <c r="I272" t="s">
        <v>2174</v>
      </c>
    </row>
    <row r="273" spans="1:9">
      <c r="A273" t="s">
        <v>2291</v>
      </c>
      <c r="B273" t="s">
        <v>1189</v>
      </c>
      <c r="C273" s="2" t="s">
        <v>1702</v>
      </c>
      <c r="E273">
        <v>58075.06</v>
      </c>
      <c r="H273">
        <v>1.2689999999999999</v>
      </c>
      <c r="I273" t="s">
        <v>2292</v>
      </c>
    </row>
    <row r="274" spans="1:9">
      <c r="A274" t="s">
        <v>2291</v>
      </c>
      <c r="B274" t="s">
        <v>1189</v>
      </c>
      <c r="C274" s="2" t="s">
        <v>252</v>
      </c>
      <c r="E274">
        <v>58110.239999999998</v>
      </c>
      <c r="H274">
        <v>1.1679999999999999</v>
      </c>
      <c r="I274" t="s">
        <v>2293</v>
      </c>
    </row>
    <row r="275" spans="1:9">
      <c r="A275" t="s">
        <v>2291</v>
      </c>
      <c r="B275" t="s">
        <v>1189</v>
      </c>
      <c r="C275" s="2" t="s">
        <v>251</v>
      </c>
      <c r="E275">
        <v>58136.69</v>
      </c>
      <c r="H275">
        <v>0.98</v>
      </c>
      <c r="I275" t="s">
        <v>2294</v>
      </c>
    </row>
    <row r="276" spans="1:9">
      <c r="A276" t="s">
        <v>2291</v>
      </c>
      <c r="B276" t="s">
        <v>1189</v>
      </c>
      <c r="C276" s="2" t="s">
        <v>249</v>
      </c>
      <c r="E276">
        <v>58159.73</v>
      </c>
      <c r="H276">
        <v>0.57799999999999996</v>
      </c>
      <c r="I276" t="s">
        <v>2295</v>
      </c>
    </row>
    <row r="277" spans="1:9">
      <c r="A277" t="s">
        <v>2296</v>
      </c>
      <c r="B277" t="s">
        <v>2240</v>
      </c>
      <c r="C277" s="2" t="s">
        <v>249</v>
      </c>
      <c r="E277">
        <v>58182.239999999998</v>
      </c>
      <c r="I277" t="s">
        <v>2174</v>
      </c>
    </row>
    <row r="278" spans="1:9">
      <c r="A278" t="s">
        <v>2296</v>
      </c>
      <c r="B278" t="s">
        <v>2240</v>
      </c>
      <c r="C278" s="2" t="s">
        <v>251</v>
      </c>
      <c r="E278">
        <v>58182.239999999998</v>
      </c>
      <c r="I278" t="s">
        <v>2174</v>
      </c>
    </row>
    <row r="279" spans="1:9">
      <c r="A279" t="s">
        <v>2296</v>
      </c>
      <c r="B279" t="s">
        <v>1481</v>
      </c>
      <c r="C279" s="2" t="s">
        <v>251</v>
      </c>
      <c r="E279">
        <v>58238.8</v>
      </c>
      <c r="I279" t="s">
        <v>2174</v>
      </c>
    </row>
    <row r="280" spans="1:9">
      <c r="A280" t="s">
        <v>2296</v>
      </c>
      <c r="B280" t="s">
        <v>1481</v>
      </c>
      <c r="C280" s="2" t="s">
        <v>249</v>
      </c>
      <c r="E280">
        <v>58240.800000000003</v>
      </c>
      <c r="I280" t="s">
        <v>2174</v>
      </c>
    </row>
    <row r="281" spans="1:9">
      <c r="A281" t="s">
        <v>2296</v>
      </c>
      <c r="B281" t="s">
        <v>1481</v>
      </c>
      <c r="C281" s="2" t="s">
        <v>250</v>
      </c>
      <c r="E281">
        <v>58242.16</v>
      </c>
      <c r="I281" t="s">
        <v>2174</v>
      </c>
    </row>
    <row r="282" spans="1:9">
      <c r="A282" t="s">
        <v>2297</v>
      </c>
      <c r="B282" t="s">
        <v>2298</v>
      </c>
      <c r="C282" s="2" t="s">
        <v>720</v>
      </c>
      <c r="E282">
        <v>58338.67</v>
      </c>
      <c r="H282">
        <v>1.228</v>
      </c>
      <c r="I282" t="s">
        <v>2299</v>
      </c>
    </row>
    <row r="283" spans="1:9">
      <c r="A283" t="s">
        <v>2297</v>
      </c>
      <c r="B283" t="s">
        <v>2298</v>
      </c>
      <c r="C283" s="2" t="s">
        <v>1702</v>
      </c>
      <c r="E283">
        <v>58427.3</v>
      </c>
      <c r="H283">
        <v>1.133</v>
      </c>
      <c r="I283" t="s">
        <v>2300</v>
      </c>
    </row>
    <row r="284" spans="1:9">
      <c r="A284" t="s">
        <v>2297</v>
      </c>
      <c r="B284" t="s">
        <v>2298</v>
      </c>
      <c r="C284" s="2" t="s">
        <v>252</v>
      </c>
      <c r="E284">
        <v>58485.52</v>
      </c>
      <c r="H284">
        <v>0.96799999999999997</v>
      </c>
      <c r="I284" t="s">
        <v>2301</v>
      </c>
    </row>
    <row r="285" spans="1:9">
      <c r="A285" t="s">
        <v>2297</v>
      </c>
      <c r="B285" t="s">
        <v>2298</v>
      </c>
      <c r="C285" s="2" t="s">
        <v>251</v>
      </c>
      <c r="E285">
        <v>58519.9</v>
      </c>
      <c r="H285">
        <v>0.66500000000000004</v>
      </c>
      <c r="I285" t="s">
        <v>2302</v>
      </c>
    </row>
    <row r="286" spans="1:9">
      <c r="A286" t="s">
        <v>2303</v>
      </c>
      <c r="B286" t="s">
        <v>2240</v>
      </c>
      <c r="C286" s="2" t="s">
        <v>249</v>
      </c>
      <c r="E286">
        <v>58561.18</v>
      </c>
      <c r="I286" t="s">
        <v>2174</v>
      </c>
    </row>
    <row r="287" spans="1:9">
      <c r="A287" t="s">
        <v>2303</v>
      </c>
      <c r="B287" t="s">
        <v>2240</v>
      </c>
      <c r="C287" s="2" t="s">
        <v>251</v>
      </c>
      <c r="E287">
        <v>58561.18</v>
      </c>
      <c r="I287" t="s">
        <v>2174</v>
      </c>
    </row>
    <row r="288" spans="1:9">
      <c r="A288" t="s">
        <v>2303</v>
      </c>
      <c r="B288" t="s">
        <v>1481</v>
      </c>
      <c r="C288" s="2" t="s">
        <v>251</v>
      </c>
      <c r="E288">
        <v>58598.73</v>
      </c>
      <c r="I288" t="s">
        <v>2174</v>
      </c>
    </row>
    <row r="289" spans="1:9">
      <c r="A289" t="s">
        <v>2303</v>
      </c>
      <c r="B289" t="s">
        <v>1481</v>
      </c>
      <c r="C289" s="2" t="s">
        <v>249</v>
      </c>
      <c r="E289">
        <v>58600.33</v>
      </c>
      <c r="I289" t="s">
        <v>2174</v>
      </c>
    </row>
    <row r="290" spans="1:9">
      <c r="A290" t="s">
        <v>2303</v>
      </c>
      <c r="B290" t="s">
        <v>1481</v>
      </c>
      <c r="C290" s="2" t="s">
        <v>250</v>
      </c>
      <c r="E290">
        <v>58600.92</v>
      </c>
      <c r="I290" t="s">
        <v>2174</v>
      </c>
    </row>
    <row r="291" spans="1:9">
      <c r="A291" t="s">
        <v>2304</v>
      </c>
      <c r="B291" t="s">
        <v>2240</v>
      </c>
      <c r="E291">
        <v>58830.7</v>
      </c>
      <c r="I291" t="s">
        <v>2174</v>
      </c>
    </row>
    <row r="292" spans="1:9">
      <c r="A292" t="s">
        <v>2297</v>
      </c>
      <c r="B292" t="s">
        <v>1319</v>
      </c>
      <c r="C292" s="2" t="s">
        <v>720</v>
      </c>
      <c r="E292">
        <v>58843.39</v>
      </c>
      <c r="H292">
        <v>1.0900000000000001</v>
      </c>
      <c r="I292" t="s">
        <v>2305</v>
      </c>
    </row>
    <row r="293" spans="1:9">
      <c r="A293" t="s">
        <v>2297</v>
      </c>
      <c r="B293" t="s">
        <v>1319</v>
      </c>
      <c r="C293" s="2" t="s">
        <v>1702</v>
      </c>
      <c r="E293">
        <v>58851.49</v>
      </c>
      <c r="I293" t="s">
        <v>2306</v>
      </c>
    </row>
    <row r="294" spans="1:9">
      <c r="A294" t="s">
        <v>2297</v>
      </c>
      <c r="B294" t="s">
        <v>1319</v>
      </c>
      <c r="C294" s="2" t="s">
        <v>1322</v>
      </c>
      <c r="E294">
        <v>58852.6</v>
      </c>
      <c r="I294" t="s">
        <v>2307</v>
      </c>
    </row>
    <row r="295" spans="1:9">
      <c r="A295" t="s">
        <v>2297</v>
      </c>
      <c r="B295" t="s">
        <v>1319</v>
      </c>
      <c r="C295" s="2" t="s">
        <v>252</v>
      </c>
      <c r="E295">
        <v>58866.66</v>
      </c>
      <c r="H295">
        <v>0.73</v>
      </c>
      <c r="I295" t="s">
        <v>2308</v>
      </c>
    </row>
    <row r="296" spans="1:9">
      <c r="A296" t="s">
        <v>2304</v>
      </c>
      <c r="B296" t="s">
        <v>1481</v>
      </c>
      <c r="C296" s="2" t="s">
        <v>251</v>
      </c>
      <c r="E296">
        <v>58856.98</v>
      </c>
      <c r="I296" t="s">
        <v>2174</v>
      </c>
    </row>
    <row r="297" spans="1:9">
      <c r="A297" t="s">
        <v>2304</v>
      </c>
      <c r="B297" t="s">
        <v>1481</v>
      </c>
      <c r="C297" s="2" t="s">
        <v>249</v>
      </c>
      <c r="E297">
        <v>58858.04</v>
      </c>
      <c r="I297" t="s">
        <v>2174</v>
      </c>
    </row>
    <row r="298" spans="1:9">
      <c r="A298" t="s">
        <v>2304</v>
      </c>
      <c r="B298" t="s">
        <v>1481</v>
      </c>
      <c r="C298" s="2" t="s">
        <v>250</v>
      </c>
      <c r="E298">
        <v>58858.48</v>
      </c>
      <c r="I298" t="s">
        <v>2174</v>
      </c>
    </row>
    <row r="299" spans="1:9">
      <c r="A299" t="s">
        <v>2309</v>
      </c>
      <c r="B299" t="s">
        <v>2240</v>
      </c>
      <c r="E299">
        <v>59029.120000000003</v>
      </c>
      <c r="I299" t="s">
        <v>2174</v>
      </c>
    </row>
    <row r="300" spans="1:9">
      <c r="A300" t="s">
        <v>2309</v>
      </c>
      <c r="B300" t="s">
        <v>1481</v>
      </c>
      <c r="C300" s="2" t="s">
        <v>251</v>
      </c>
      <c r="E300">
        <v>59048.39</v>
      </c>
      <c r="I300" t="s">
        <v>2174</v>
      </c>
    </row>
    <row r="301" spans="1:9">
      <c r="A301" t="s">
        <v>2309</v>
      </c>
      <c r="B301" t="s">
        <v>1481</v>
      </c>
      <c r="C301" s="2" t="s">
        <v>250</v>
      </c>
      <c r="E301">
        <v>59049</v>
      </c>
      <c r="I301" t="s">
        <v>2174</v>
      </c>
    </row>
    <row r="302" spans="1:9">
      <c r="A302" t="s">
        <v>2309</v>
      </c>
      <c r="B302" t="s">
        <v>1481</v>
      </c>
      <c r="C302" s="2" t="s">
        <v>249</v>
      </c>
      <c r="E302">
        <v>59049</v>
      </c>
      <c r="I302" t="s">
        <v>2174</v>
      </c>
    </row>
    <row r="303" spans="1:9">
      <c r="A303" t="s">
        <v>2310</v>
      </c>
      <c r="B303" t="s">
        <v>216</v>
      </c>
      <c r="C303" s="2" t="s">
        <v>249</v>
      </c>
      <c r="E303">
        <v>59116.639999999999</v>
      </c>
      <c r="H303">
        <v>1.5580000000000001</v>
      </c>
      <c r="I303" t="s">
        <v>2311</v>
      </c>
    </row>
    <row r="304" spans="1:9">
      <c r="A304" t="s">
        <v>2310</v>
      </c>
      <c r="B304" t="s">
        <v>216</v>
      </c>
      <c r="C304" s="2" t="s">
        <v>251</v>
      </c>
      <c r="E304">
        <v>59339.49</v>
      </c>
      <c r="H304">
        <v>1.3620000000000001</v>
      </c>
      <c r="I304" t="s">
        <v>2312</v>
      </c>
    </row>
    <row r="305" spans="1:9">
      <c r="A305" t="s">
        <v>2310</v>
      </c>
      <c r="B305" t="s">
        <v>216</v>
      </c>
      <c r="C305" s="2" t="s">
        <v>248</v>
      </c>
      <c r="E305">
        <v>59527.360000000001</v>
      </c>
      <c r="I305" t="s">
        <v>2313</v>
      </c>
    </row>
    <row r="306" spans="1:9">
      <c r="A306" t="s">
        <v>2310</v>
      </c>
      <c r="B306" t="s">
        <v>216</v>
      </c>
      <c r="C306" s="2" t="s">
        <v>250</v>
      </c>
      <c r="E306">
        <v>59527.89</v>
      </c>
      <c r="I306" t="s">
        <v>2314</v>
      </c>
    </row>
    <row r="307" spans="1:9">
      <c r="A307" t="s">
        <v>2315</v>
      </c>
      <c r="B307" t="s">
        <v>2240</v>
      </c>
      <c r="E307">
        <v>59179.38</v>
      </c>
      <c r="I307" t="s">
        <v>2174</v>
      </c>
    </row>
    <row r="308" spans="1:9">
      <c r="A308" t="s">
        <v>2315</v>
      </c>
      <c r="B308" t="s">
        <v>1481</v>
      </c>
      <c r="C308" s="2" t="s">
        <v>251</v>
      </c>
      <c r="E308">
        <v>59193.78</v>
      </c>
      <c r="I308" t="s">
        <v>2174</v>
      </c>
    </row>
    <row r="309" spans="1:9">
      <c r="A309" t="s">
        <v>2315</v>
      </c>
      <c r="B309" t="s">
        <v>1481</v>
      </c>
      <c r="C309" s="2" t="s">
        <v>250</v>
      </c>
      <c r="E309">
        <v>59194.28</v>
      </c>
      <c r="I309" t="s">
        <v>2174</v>
      </c>
    </row>
    <row r="310" spans="1:9">
      <c r="A310" t="s">
        <v>2315</v>
      </c>
      <c r="B310" t="s">
        <v>1481</v>
      </c>
      <c r="C310" s="2" t="s">
        <v>249</v>
      </c>
      <c r="E310">
        <v>59194.28</v>
      </c>
      <c r="I310" t="s">
        <v>2174</v>
      </c>
    </row>
    <row r="311" spans="1:9">
      <c r="A311" t="s">
        <v>2310</v>
      </c>
      <c r="B311" t="s">
        <v>1196</v>
      </c>
      <c r="C311" s="2" t="s">
        <v>252</v>
      </c>
      <c r="E311">
        <v>59257.440000000002</v>
      </c>
      <c r="H311">
        <v>1.327</v>
      </c>
      <c r="I311" t="s">
        <v>2316</v>
      </c>
    </row>
    <row r="312" spans="1:9">
      <c r="A312" t="s">
        <v>2310</v>
      </c>
      <c r="B312" t="s">
        <v>1196</v>
      </c>
      <c r="C312" s="2" t="s">
        <v>251</v>
      </c>
      <c r="E312">
        <v>59290.11</v>
      </c>
      <c r="H312">
        <v>1.325</v>
      </c>
      <c r="I312" t="s">
        <v>2317</v>
      </c>
    </row>
    <row r="313" spans="1:9">
      <c r="A313" t="s">
        <v>2310</v>
      </c>
      <c r="B313" t="s">
        <v>1196</v>
      </c>
      <c r="C313" s="2" t="s">
        <v>249</v>
      </c>
      <c r="E313">
        <v>59360.67</v>
      </c>
      <c r="H313">
        <v>1.1100000000000001</v>
      </c>
      <c r="I313" t="s">
        <v>2318</v>
      </c>
    </row>
    <row r="314" spans="1:9">
      <c r="A314" t="s">
        <v>2310</v>
      </c>
      <c r="B314" t="s">
        <v>1196</v>
      </c>
      <c r="C314" s="2" t="s">
        <v>250</v>
      </c>
      <c r="E314">
        <v>59416.15</v>
      </c>
      <c r="H314">
        <v>0.39</v>
      </c>
      <c r="I314" t="s">
        <v>2319</v>
      </c>
    </row>
    <row r="315" spans="1:9">
      <c r="A315" t="s">
        <v>2320</v>
      </c>
      <c r="B315" t="s">
        <v>2240</v>
      </c>
      <c r="E315">
        <v>59296</v>
      </c>
      <c r="I315" t="s">
        <v>2174</v>
      </c>
    </row>
    <row r="316" spans="1:9">
      <c r="A316" t="s">
        <v>2320</v>
      </c>
      <c r="B316" t="s">
        <v>1481</v>
      </c>
      <c r="E316">
        <v>59307.46</v>
      </c>
      <c r="I316" t="s">
        <v>2174</v>
      </c>
    </row>
    <row r="317" spans="1:9">
      <c r="A317" t="s">
        <v>2286</v>
      </c>
      <c r="B317" t="s">
        <v>1499</v>
      </c>
      <c r="C317" s="2" t="s">
        <v>250</v>
      </c>
      <c r="E317">
        <v>59384.24</v>
      </c>
      <c r="H317">
        <v>1.6080000000000001</v>
      </c>
      <c r="I317" t="s">
        <v>2321</v>
      </c>
    </row>
    <row r="318" spans="1:9">
      <c r="A318" t="s">
        <v>2286</v>
      </c>
      <c r="B318" t="s">
        <v>1499</v>
      </c>
      <c r="C318" s="2" t="s">
        <v>249</v>
      </c>
      <c r="E318">
        <v>59480.800000000003</v>
      </c>
      <c r="H318">
        <v>1.2809999999999999</v>
      </c>
      <c r="I318" t="s">
        <v>2322</v>
      </c>
    </row>
    <row r="319" spans="1:9">
      <c r="A319" t="s">
        <v>2286</v>
      </c>
      <c r="B319" t="s">
        <v>1499</v>
      </c>
      <c r="C319" s="2" t="s">
        <v>248</v>
      </c>
      <c r="E319">
        <v>59568.29</v>
      </c>
      <c r="H319">
        <v>1.94</v>
      </c>
      <c r="I319" t="s">
        <v>2323</v>
      </c>
    </row>
    <row r="320" spans="1:9">
      <c r="A320" t="s">
        <v>2324</v>
      </c>
      <c r="B320" t="s">
        <v>2240</v>
      </c>
      <c r="E320">
        <v>59388.47</v>
      </c>
      <c r="I320" t="s">
        <v>2174</v>
      </c>
    </row>
    <row r="321" spans="1:9">
      <c r="A321" t="s">
        <v>2324</v>
      </c>
      <c r="B321" t="s">
        <v>1481</v>
      </c>
      <c r="E321">
        <v>59397.35</v>
      </c>
      <c r="I321" t="s">
        <v>2174</v>
      </c>
    </row>
    <row r="322" spans="1:9">
      <c r="A322" t="s">
        <v>2325</v>
      </c>
      <c r="B322" t="s">
        <v>2240</v>
      </c>
      <c r="E322">
        <v>59462.48</v>
      </c>
      <c r="I322" t="s">
        <v>2174</v>
      </c>
    </row>
    <row r="323" spans="1:9">
      <c r="A323" t="s">
        <v>2286</v>
      </c>
      <c r="B323" t="s">
        <v>216</v>
      </c>
      <c r="C323" s="2" t="s">
        <v>251</v>
      </c>
      <c r="E323">
        <v>59470.14</v>
      </c>
      <c r="H323">
        <v>1.3859999999999999</v>
      </c>
      <c r="I323" t="s">
        <v>2326</v>
      </c>
    </row>
    <row r="324" spans="1:9">
      <c r="A324" t="s">
        <v>2286</v>
      </c>
      <c r="B324" t="s">
        <v>216</v>
      </c>
      <c r="C324" s="2" t="s">
        <v>250</v>
      </c>
      <c r="E324">
        <v>59989.77</v>
      </c>
      <c r="H324">
        <v>1.194</v>
      </c>
      <c r="I324" t="s">
        <v>2327</v>
      </c>
    </row>
    <row r="325" spans="1:9">
      <c r="A325" t="s">
        <v>2286</v>
      </c>
      <c r="B325" t="s">
        <v>216</v>
      </c>
      <c r="C325" s="2" t="s">
        <v>249</v>
      </c>
      <c r="E325">
        <v>60101.65</v>
      </c>
      <c r="H325">
        <v>1.31</v>
      </c>
      <c r="I325" t="s">
        <v>2328</v>
      </c>
    </row>
    <row r="326" spans="1:9">
      <c r="A326" t="s">
        <v>2286</v>
      </c>
      <c r="B326" t="s">
        <v>216</v>
      </c>
      <c r="C326" s="2" t="s">
        <v>248</v>
      </c>
      <c r="E326">
        <v>60141.98</v>
      </c>
      <c r="H326">
        <v>0.17</v>
      </c>
      <c r="I326" t="s">
        <v>2329</v>
      </c>
    </row>
    <row r="327" spans="1:9">
      <c r="A327" t="s">
        <v>2325</v>
      </c>
      <c r="B327" t="s">
        <v>1481</v>
      </c>
      <c r="E327">
        <v>59470.31</v>
      </c>
      <c r="I327" t="s">
        <v>2174</v>
      </c>
    </row>
    <row r="328" spans="1:9">
      <c r="A328" t="s">
        <v>2330</v>
      </c>
      <c r="B328" t="s">
        <v>2240</v>
      </c>
      <c r="E328">
        <v>59523.45</v>
      </c>
      <c r="I328" t="s">
        <v>2174</v>
      </c>
    </row>
    <row r="329" spans="1:9">
      <c r="A329" t="s">
        <v>2330</v>
      </c>
      <c r="B329" t="s">
        <v>1481</v>
      </c>
      <c r="E329">
        <v>59529.21</v>
      </c>
      <c r="I329" t="s">
        <v>2174</v>
      </c>
    </row>
    <row r="330" spans="1:9">
      <c r="A330" t="s">
        <v>2331</v>
      </c>
      <c r="B330" t="s">
        <v>2240</v>
      </c>
      <c r="E330">
        <v>59573.79</v>
      </c>
      <c r="I330" t="s">
        <v>2174</v>
      </c>
    </row>
    <row r="331" spans="1:9">
      <c r="A331" t="s">
        <v>2331</v>
      </c>
      <c r="B331" t="s">
        <v>1481</v>
      </c>
      <c r="E331">
        <v>59578.37</v>
      </c>
      <c r="I331" t="s">
        <v>2174</v>
      </c>
    </row>
    <row r="332" spans="1:9">
      <c r="A332" t="s">
        <v>2286</v>
      </c>
      <c r="B332" t="s">
        <v>218</v>
      </c>
      <c r="C332" s="2" t="s">
        <v>249</v>
      </c>
      <c r="E332">
        <v>59600.35</v>
      </c>
      <c r="H332">
        <v>1.2769999999999999</v>
      </c>
      <c r="I332" t="s">
        <v>2332</v>
      </c>
    </row>
    <row r="333" spans="1:9">
      <c r="A333" t="s">
        <v>2286</v>
      </c>
      <c r="B333" t="s">
        <v>218</v>
      </c>
      <c r="C333" s="2" t="s">
        <v>250</v>
      </c>
      <c r="E333">
        <v>60395.64</v>
      </c>
      <c r="H333">
        <v>0.91</v>
      </c>
      <c r="I333" t="s">
        <v>2333</v>
      </c>
    </row>
    <row r="334" spans="1:9">
      <c r="A334" t="s">
        <v>2334</v>
      </c>
      <c r="B334" t="s">
        <v>2240</v>
      </c>
      <c r="E334">
        <v>59615.5</v>
      </c>
      <c r="I334" t="s">
        <v>2174</v>
      </c>
    </row>
    <row r="335" spans="1:9">
      <c r="A335" t="s">
        <v>2297</v>
      </c>
      <c r="B335" t="s">
        <v>1337</v>
      </c>
      <c r="C335" s="2" t="s">
        <v>720</v>
      </c>
      <c r="E335">
        <v>59617.120000000003</v>
      </c>
      <c r="H335">
        <v>1.0740000000000001</v>
      </c>
      <c r="I335" t="s">
        <v>2335</v>
      </c>
    </row>
    <row r="336" spans="1:9">
      <c r="A336" t="s">
        <v>2297</v>
      </c>
      <c r="B336" t="s">
        <v>1337</v>
      </c>
      <c r="C336" s="2" t="s">
        <v>1702</v>
      </c>
      <c r="E336">
        <v>59827.88</v>
      </c>
      <c r="H336">
        <v>0.93</v>
      </c>
      <c r="I336" t="s">
        <v>2336</v>
      </c>
    </row>
    <row r="337" spans="1:9">
      <c r="A337" t="s">
        <v>2334</v>
      </c>
      <c r="B337" t="s">
        <v>1481</v>
      </c>
      <c r="E337">
        <v>59619.6</v>
      </c>
      <c r="I337" t="s">
        <v>2174</v>
      </c>
    </row>
    <row r="338" spans="1:9">
      <c r="A338" t="s">
        <v>2337</v>
      </c>
      <c r="B338" t="s">
        <v>2240</v>
      </c>
      <c r="E338">
        <v>59650.9</v>
      </c>
      <c r="I338" t="s">
        <v>2174</v>
      </c>
    </row>
    <row r="339" spans="1:9">
      <c r="A339" t="s">
        <v>2310</v>
      </c>
      <c r="B339" t="s">
        <v>1207</v>
      </c>
      <c r="C339" s="2" t="s">
        <v>1702</v>
      </c>
      <c r="E339">
        <v>59652.9</v>
      </c>
      <c r="H339">
        <v>1.2390000000000001</v>
      </c>
      <c r="I339" t="s">
        <v>2338</v>
      </c>
    </row>
    <row r="340" spans="1:9">
      <c r="A340" t="s">
        <v>2310</v>
      </c>
      <c r="B340" t="s">
        <v>1207</v>
      </c>
      <c r="C340" s="2" t="s">
        <v>252</v>
      </c>
      <c r="E340">
        <v>59731.94</v>
      </c>
      <c r="H340">
        <v>1.169</v>
      </c>
      <c r="I340" t="s">
        <v>2339</v>
      </c>
    </row>
    <row r="341" spans="1:9">
      <c r="A341" t="s">
        <v>2310</v>
      </c>
      <c r="B341" t="s">
        <v>1207</v>
      </c>
      <c r="C341" s="2" t="s">
        <v>251</v>
      </c>
      <c r="E341">
        <v>59784.31</v>
      </c>
      <c r="H341">
        <v>0.99</v>
      </c>
      <c r="I341" t="s">
        <v>2340</v>
      </c>
    </row>
    <row r="342" spans="1:9">
      <c r="A342" t="s">
        <v>2310</v>
      </c>
      <c r="B342" t="s">
        <v>1207</v>
      </c>
      <c r="C342" s="2" t="s">
        <v>249</v>
      </c>
      <c r="E342">
        <v>59817.7</v>
      </c>
      <c r="H342">
        <v>0.58399999999999996</v>
      </c>
      <c r="I342" t="s">
        <v>2341</v>
      </c>
    </row>
    <row r="343" spans="1:9">
      <c r="A343" t="s">
        <v>2337</v>
      </c>
      <c r="B343" t="s">
        <v>1481</v>
      </c>
      <c r="E343">
        <v>59654.46</v>
      </c>
      <c r="I343" t="s">
        <v>2174</v>
      </c>
    </row>
    <row r="344" spans="1:9">
      <c r="A344" t="s">
        <v>2342</v>
      </c>
      <c r="B344" t="s">
        <v>2240</v>
      </c>
      <c r="E344">
        <v>59681.2</v>
      </c>
      <c r="I344" t="s">
        <v>2174</v>
      </c>
    </row>
    <row r="345" spans="1:9">
      <c r="A345" t="s">
        <v>2342</v>
      </c>
      <c r="B345" t="s">
        <v>1481</v>
      </c>
      <c r="E345">
        <v>59684.25</v>
      </c>
      <c r="I345" t="s">
        <v>2174</v>
      </c>
    </row>
    <row r="346" spans="1:9">
      <c r="A346" t="s">
        <v>2343</v>
      </c>
      <c r="B346" t="s">
        <v>1481</v>
      </c>
      <c r="E346">
        <v>59709.85</v>
      </c>
      <c r="I346" t="s">
        <v>2174</v>
      </c>
    </row>
    <row r="347" spans="1:9">
      <c r="A347" t="s">
        <v>2344</v>
      </c>
      <c r="B347" t="s">
        <v>1481</v>
      </c>
      <c r="E347">
        <v>59732.03</v>
      </c>
      <c r="I347" t="s">
        <v>2174</v>
      </c>
    </row>
    <row r="348" spans="1:9">
      <c r="A348" t="s">
        <v>2345</v>
      </c>
      <c r="B348" t="s">
        <v>1481</v>
      </c>
      <c r="E348">
        <v>59751.41</v>
      </c>
      <c r="I348" t="s">
        <v>2174</v>
      </c>
    </row>
    <row r="349" spans="1:9">
      <c r="A349" t="s">
        <v>2346</v>
      </c>
      <c r="B349" t="s">
        <v>1481</v>
      </c>
      <c r="E349">
        <v>59768.39</v>
      </c>
      <c r="I349" t="s">
        <v>2174</v>
      </c>
    </row>
    <row r="350" spans="1:9">
      <c r="A350" t="s">
        <v>2347</v>
      </c>
      <c r="B350" t="s">
        <v>1481</v>
      </c>
      <c r="E350">
        <v>59783.42</v>
      </c>
      <c r="I350" t="s">
        <v>2174</v>
      </c>
    </row>
    <row r="351" spans="1:9">
      <c r="A351" t="s">
        <v>2348</v>
      </c>
      <c r="B351" t="s">
        <v>1481</v>
      </c>
      <c r="E351">
        <v>59796.72</v>
      </c>
      <c r="I351" t="s">
        <v>2174</v>
      </c>
    </row>
    <row r="352" spans="1:9">
      <c r="A352" t="s">
        <v>2349</v>
      </c>
      <c r="B352" t="s">
        <v>1481</v>
      </c>
      <c r="E352">
        <v>59808.57</v>
      </c>
      <c r="I352" t="s">
        <v>2174</v>
      </c>
    </row>
    <row r="353" spans="1:10">
      <c r="A353" t="s">
        <v>2350</v>
      </c>
      <c r="B353" t="s">
        <v>1481</v>
      </c>
      <c r="E353">
        <v>59819.14</v>
      </c>
      <c r="I353" t="s">
        <v>2174</v>
      </c>
    </row>
    <row r="354" spans="1:10">
      <c r="A354" t="s">
        <v>2351</v>
      </c>
      <c r="B354" t="s">
        <v>1481</v>
      </c>
      <c r="E354">
        <v>59828.61</v>
      </c>
      <c r="I354" t="s">
        <v>2174</v>
      </c>
    </row>
    <row r="355" spans="1:10">
      <c r="A355" t="s">
        <v>2352</v>
      </c>
      <c r="B355" t="s">
        <v>1481</v>
      </c>
      <c r="E355">
        <v>59837.27</v>
      </c>
      <c r="I355" t="s">
        <v>2174</v>
      </c>
    </row>
    <row r="356" spans="1:10">
      <c r="A356" t="s">
        <v>2353</v>
      </c>
      <c r="B356" t="s">
        <v>1481</v>
      </c>
      <c r="E356">
        <v>59845.04</v>
      </c>
      <c r="I356" t="s">
        <v>2174</v>
      </c>
    </row>
    <row r="357" spans="1:10">
      <c r="A357" t="s">
        <v>2354</v>
      </c>
      <c r="B357" t="s">
        <v>1481</v>
      </c>
      <c r="E357">
        <v>59851.99</v>
      </c>
      <c r="I357" t="s">
        <v>2174</v>
      </c>
    </row>
    <row r="358" spans="1:10">
      <c r="A358" t="s">
        <v>2355</v>
      </c>
      <c r="B358" t="s">
        <v>1481</v>
      </c>
      <c r="E358">
        <v>59858.47</v>
      </c>
      <c r="I358" t="s">
        <v>2174</v>
      </c>
    </row>
    <row r="359" spans="1:10">
      <c r="A359" t="s">
        <v>2356</v>
      </c>
      <c r="B359" t="s">
        <v>1481</v>
      </c>
      <c r="E359">
        <v>59864.44</v>
      </c>
      <c r="I359" t="s">
        <v>2174</v>
      </c>
    </row>
    <row r="360" spans="1:10">
      <c r="A360" t="s">
        <v>2357</v>
      </c>
      <c r="B360" t="s">
        <v>1481</v>
      </c>
      <c r="E360">
        <v>59869.65</v>
      </c>
      <c r="I360" t="s">
        <v>2174</v>
      </c>
    </row>
    <row r="361" spans="1:10">
      <c r="A361" t="s">
        <v>2358</v>
      </c>
      <c r="B361" t="s">
        <v>1481</v>
      </c>
      <c r="E361">
        <v>59874.55</v>
      </c>
      <c r="I361" t="s">
        <v>2174</v>
      </c>
    </row>
    <row r="362" spans="1:10">
      <c r="A362" t="s">
        <v>2359</v>
      </c>
      <c r="B362" t="s">
        <v>1481</v>
      </c>
      <c r="E362">
        <v>59879.040000000001</v>
      </c>
      <c r="I362" t="s">
        <v>2174</v>
      </c>
    </row>
    <row r="363" spans="1:10">
      <c r="A363" t="s">
        <v>2360</v>
      </c>
      <c r="B363" t="s">
        <v>1481</v>
      </c>
      <c r="E363">
        <v>59883.26</v>
      </c>
      <c r="I363" t="s">
        <v>2174</v>
      </c>
    </row>
    <row r="364" spans="1:10">
      <c r="A364" t="s">
        <v>2361</v>
      </c>
      <c r="B364" t="s">
        <v>1481</v>
      </c>
      <c r="E364">
        <v>59887.06</v>
      </c>
      <c r="I364" t="s">
        <v>2174</v>
      </c>
    </row>
    <row r="365" spans="1:10">
      <c r="A365" t="s">
        <v>2362</v>
      </c>
      <c r="B365" t="s">
        <v>202</v>
      </c>
      <c r="C365" s="2" t="s">
        <v>203</v>
      </c>
      <c r="E365">
        <v>59959.56</v>
      </c>
      <c r="G365">
        <v>0.01</v>
      </c>
      <c r="I365" t="s">
        <v>2174</v>
      </c>
      <c r="J365" t="s">
        <v>2363</v>
      </c>
    </row>
    <row r="366" spans="1:10">
      <c r="A366" t="s">
        <v>2297</v>
      </c>
      <c r="B366" t="s">
        <v>1158</v>
      </c>
      <c r="C366" s="2" t="s">
        <v>252</v>
      </c>
      <c r="E366">
        <v>60668.49</v>
      </c>
      <c r="H366">
        <v>1.1120000000000001</v>
      </c>
      <c r="I366" t="s">
        <v>2364</v>
      </c>
    </row>
    <row r="367" spans="1:10">
      <c r="A367" t="s">
        <v>2297</v>
      </c>
      <c r="B367" t="s">
        <v>1158</v>
      </c>
      <c r="C367" s="2" t="s">
        <v>251</v>
      </c>
      <c r="E367">
        <v>60739.42</v>
      </c>
      <c r="I367" t="s">
        <v>2365</v>
      </c>
    </row>
    <row r="368" spans="1:10">
      <c r="A368" t="s">
        <v>2366</v>
      </c>
      <c r="B368" t="s">
        <v>1238</v>
      </c>
      <c r="C368" s="2" t="s">
        <v>250</v>
      </c>
      <c r="E368">
        <v>60760.87</v>
      </c>
      <c r="I368" t="s">
        <v>2367</v>
      </c>
    </row>
    <row r="369" spans="1:9">
      <c r="A369" t="s">
        <v>2366</v>
      </c>
      <c r="B369" t="s">
        <v>1238</v>
      </c>
      <c r="C369" s="2" t="s">
        <v>249</v>
      </c>
      <c r="E369">
        <v>60820.35</v>
      </c>
      <c r="I369" t="s">
        <v>2368</v>
      </c>
    </row>
    <row r="370" spans="1:9">
      <c r="A370" t="s">
        <v>2366</v>
      </c>
      <c r="B370" t="s">
        <v>1238</v>
      </c>
      <c r="C370" s="2" t="s">
        <v>251</v>
      </c>
      <c r="E370">
        <v>60902.8</v>
      </c>
      <c r="I370" t="s">
        <v>2369</v>
      </c>
    </row>
    <row r="371" spans="1:9">
      <c r="A371" t="s">
        <v>2366</v>
      </c>
      <c r="B371" t="s">
        <v>1238</v>
      </c>
      <c r="C371" s="2" t="s">
        <v>252</v>
      </c>
      <c r="E371">
        <v>60938.97</v>
      </c>
      <c r="I371" t="s">
        <v>2370</v>
      </c>
    </row>
    <row r="372" spans="1:9">
      <c r="A372" t="s">
        <v>2371</v>
      </c>
      <c r="B372" t="s">
        <v>1351</v>
      </c>
      <c r="C372" s="2" t="s">
        <v>720</v>
      </c>
      <c r="E372">
        <v>60891.48</v>
      </c>
      <c r="H372">
        <v>1.228</v>
      </c>
      <c r="I372" t="s">
        <v>2372</v>
      </c>
    </row>
    <row r="373" spans="1:9">
      <c r="A373" t="s">
        <v>2371</v>
      </c>
      <c r="B373" t="s">
        <v>1351</v>
      </c>
      <c r="C373" s="2" t="s">
        <v>1702</v>
      </c>
      <c r="E373">
        <v>60933.73</v>
      </c>
      <c r="H373">
        <v>1.1339999999999999</v>
      </c>
      <c r="I373" t="s">
        <v>2373</v>
      </c>
    </row>
    <row r="374" spans="1:9">
      <c r="A374" t="s">
        <v>2371</v>
      </c>
      <c r="B374" t="s">
        <v>1351</v>
      </c>
      <c r="C374" s="2" t="s">
        <v>252</v>
      </c>
      <c r="E374">
        <v>60955.88</v>
      </c>
      <c r="I374" t="s">
        <v>2374</v>
      </c>
    </row>
    <row r="375" spans="1:9">
      <c r="A375" t="s">
        <v>2371</v>
      </c>
      <c r="B375" t="s">
        <v>1351</v>
      </c>
      <c r="C375" s="2" t="s">
        <v>251</v>
      </c>
      <c r="E375">
        <v>60957.21</v>
      </c>
      <c r="I375" t="s">
        <v>2375</v>
      </c>
    </row>
    <row r="376" spans="1:9">
      <c r="A376" t="s">
        <v>2371</v>
      </c>
      <c r="B376" t="s">
        <v>2376</v>
      </c>
      <c r="C376" s="2" t="s">
        <v>1322</v>
      </c>
      <c r="E376">
        <v>61204.54</v>
      </c>
      <c r="H376">
        <v>1.2</v>
      </c>
      <c r="I376" t="s">
        <v>2377</v>
      </c>
    </row>
    <row r="377" spans="1:9">
      <c r="A377" t="s">
        <v>2371</v>
      </c>
      <c r="B377" t="s">
        <v>2376</v>
      </c>
      <c r="C377" s="2" t="s">
        <v>252</v>
      </c>
      <c r="E377">
        <v>61211.43</v>
      </c>
      <c r="H377">
        <v>0.75</v>
      </c>
      <c r="I377" t="s">
        <v>2378</v>
      </c>
    </row>
    <row r="378" spans="1:9">
      <c r="A378" t="s">
        <v>2371</v>
      </c>
      <c r="B378" t="s">
        <v>2376</v>
      </c>
      <c r="C378" s="2" t="s">
        <v>720</v>
      </c>
      <c r="E378">
        <v>61225.55</v>
      </c>
      <c r="I378" t="s">
        <v>2379</v>
      </c>
    </row>
    <row r="379" spans="1:9">
      <c r="A379" t="s">
        <v>2371</v>
      </c>
      <c r="B379" t="s">
        <v>2376</v>
      </c>
      <c r="C379" s="2" t="s">
        <v>1702</v>
      </c>
      <c r="E379">
        <v>61225.77</v>
      </c>
      <c r="I379" t="s">
        <v>2380</v>
      </c>
    </row>
    <row r="380" spans="1:9">
      <c r="A380" t="s">
        <v>2381</v>
      </c>
      <c r="B380" t="s">
        <v>606</v>
      </c>
      <c r="C380" s="2" t="s">
        <v>1702</v>
      </c>
      <c r="E380">
        <v>61469.21</v>
      </c>
      <c r="H380">
        <v>1.1639999999999999</v>
      </c>
      <c r="I380" t="s">
        <v>2382</v>
      </c>
    </row>
    <row r="381" spans="1:9">
      <c r="A381" t="s">
        <v>2381</v>
      </c>
      <c r="B381" t="s">
        <v>606</v>
      </c>
      <c r="C381" s="2" t="s">
        <v>252</v>
      </c>
      <c r="E381">
        <v>61714.52</v>
      </c>
      <c r="I381" t="s">
        <v>2383</v>
      </c>
    </row>
    <row r="382" spans="1:9">
      <c r="A382" t="s">
        <v>2381</v>
      </c>
      <c r="B382" t="s">
        <v>606</v>
      </c>
      <c r="C382" s="2" t="s">
        <v>251</v>
      </c>
      <c r="E382">
        <v>62034.04</v>
      </c>
      <c r="I382" t="s">
        <v>2384</v>
      </c>
    </row>
    <row r="383" spans="1:9">
      <c r="A383" t="s">
        <v>2381</v>
      </c>
      <c r="B383" t="s">
        <v>606</v>
      </c>
      <c r="C383" s="2" t="s">
        <v>249</v>
      </c>
      <c r="E383">
        <v>62075.55</v>
      </c>
      <c r="H383">
        <v>0.57999999999999996</v>
      </c>
      <c r="I383" t="s">
        <v>2385</v>
      </c>
    </row>
    <row r="384" spans="1:9">
      <c r="A384" t="s">
        <v>2310</v>
      </c>
      <c r="B384" t="s">
        <v>219</v>
      </c>
      <c r="C384" s="2" t="s">
        <v>249</v>
      </c>
      <c r="E384">
        <v>61469.7</v>
      </c>
      <c r="I384" t="s">
        <v>2386</v>
      </c>
    </row>
    <row r="385" spans="1:9">
      <c r="A385" t="s">
        <v>2310</v>
      </c>
      <c r="B385" t="s">
        <v>219</v>
      </c>
      <c r="C385" s="2" t="s">
        <v>251</v>
      </c>
      <c r="E385">
        <v>61480.6</v>
      </c>
      <c r="H385">
        <v>1.1299999999999999</v>
      </c>
      <c r="I385" t="s">
        <v>2387</v>
      </c>
    </row>
    <row r="386" spans="1:9">
      <c r="A386" t="s">
        <v>2310</v>
      </c>
      <c r="B386" t="s">
        <v>609</v>
      </c>
      <c r="C386" s="2" t="s">
        <v>252</v>
      </c>
      <c r="E386">
        <v>61485.34</v>
      </c>
      <c r="H386">
        <v>1.02</v>
      </c>
      <c r="I386" t="s">
        <v>2388</v>
      </c>
    </row>
    <row r="387" spans="1:9">
      <c r="A387" t="s">
        <v>2310</v>
      </c>
      <c r="B387" t="s">
        <v>609</v>
      </c>
      <c r="C387" s="2" t="s">
        <v>251</v>
      </c>
      <c r="E387">
        <v>61785.94</v>
      </c>
      <c r="H387">
        <v>0.93</v>
      </c>
      <c r="I387" t="s">
        <v>2389</v>
      </c>
    </row>
    <row r="388" spans="1:9">
      <c r="A388" t="s">
        <v>2390</v>
      </c>
      <c r="B388" t="s">
        <v>1496</v>
      </c>
      <c r="C388" s="2" t="s">
        <v>251</v>
      </c>
      <c r="E388">
        <v>61710.98</v>
      </c>
      <c r="I388">
        <v>90</v>
      </c>
    </row>
    <row r="389" spans="1:9">
      <c r="A389" t="s">
        <v>2390</v>
      </c>
      <c r="B389" t="s">
        <v>1496</v>
      </c>
      <c r="C389" s="2" t="s">
        <v>249</v>
      </c>
      <c r="E389">
        <v>61727.28</v>
      </c>
      <c r="I389" t="s">
        <v>2391</v>
      </c>
    </row>
    <row r="390" spans="1:9">
      <c r="A390" t="s">
        <v>2390</v>
      </c>
      <c r="B390" t="s">
        <v>1496</v>
      </c>
      <c r="C390" s="2" t="s">
        <v>1702</v>
      </c>
      <c r="E390">
        <v>61744.04</v>
      </c>
      <c r="I390">
        <v>92</v>
      </c>
    </row>
    <row r="391" spans="1:9">
      <c r="A391" t="s">
        <v>2392</v>
      </c>
      <c r="B391" t="s">
        <v>1328</v>
      </c>
      <c r="C391" s="2" t="s">
        <v>1702</v>
      </c>
      <c r="E391">
        <v>61713.62</v>
      </c>
      <c r="I391" t="s">
        <v>2174</v>
      </c>
    </row>
    <row r="392" spans="1:9">
      <c r="A392" t="s">
        <v>2392</v>
      </c>
      <c r="B392" t="s">
        <v>1328</v>
      </c>
      <c r="C392" s="2" t="s">
        <v>252</v>
      </c>
      <c r="E392">
        <v>62030.18</v>
      </c>
      <c r="I392" t="s">
        <v>2174</v>
      </c>
    </row>
    <row r="393" spans="1:9">
      <c r="A393" t="s">
        <v>2392</v>
      </c>
      <c r="B393" t="s">
        <v>1328</v>
      </c>
      <c r="C393" s="2" t="s">
        <v>251</v>
      </c>
      <c r="E393">
        <v>62294.66</v>
      </c>
      <c r="I393" t="s">
        <v>2174</v>
      </c>
    </row>
    <row r="394" spans="1:9">
      <c r="A394" t="s">
        <v>2392</v>
      </c>
      <c r="B394" t="s">
        <v>1328</v>
      </c>
      <c r="C394" s="2" t="s">
        <v>249</v>
      </c>
      <c r="E394">
        <v>62905.81</v>
      </c>
      <c r="I394" t="s">
        <v>2174</v>
      </c>
    </row>
    <row r="395" spans="1:9">
      <c r="A395" t="s">
        <v>2392</v>
      </c>
      <c r="B395" t="s">
        <v>1328</v>
      </c>
      <c r="C395" s="2" t="s">
        <v>250</v>
      </c>
      <c r="E395">
        <v>63083.24</v>
      </c>
      <c r="I395" t="s">
        <v>2174</v>
      </c>
    </row>
    <row r="396" spans="1:9">
      <c r="A396" t="s">
        <v>2297</v>
      </c>
      <c r="B396" t="s">
        <v>644</v>
      </c>
      <c r="C396" s="2" t="s">
        <v>1702</v>
      </c>
      <c r="E396">
        <v>61819.07</v>
      </c>
      <c r="I396" t="s">
        <v>2393</v>
      </c>
    </row>
    <row r="397" spans="1:9">
      <c r="A397" t="s">
        <v>2394</v>
      </c>
      <c r="B397" t="s">
        <v>1481</v>
      </c>
      <c r="E397">
        <v>61870.6</v>
      </c>
      <c r="I397" t="s">
        <v>2174</v>
      </c>
    </row>
    <row r="398" spans="1:9">
      <c r="A398" t="s">
        <v>2371</v>
      </c>
      <c r="B398" t="s">
        <v>2395</v>
      </c>
      <c r="C398" s="2" t="s">
        <v>720</v>
      </c>
      <c r="E398">
        <v>61912.57</v>
      </c>
      <c r="I398">
        <v>95</v>
      </c>
    </row>
    <row r="399" spans="1:9">
      <c r="A399" t="s">
        <v>2392</v>
      </c>
      <c r="B399" t="s">
        <v>1436</v>
      </c>
      <c r="C399" s="2" t="s">
        <v>720</v>
      </c>
      <c r="E399">
        <v>62001.09</v>
      </c>
      <c r="I399" t="s">
        <v>2174</v>
      </c>
    </row>
    <row r="400" spans="1:9">
      <c r="A400" t="s">
        <v>2392</v>
      </c>
      <c r="B400" t="s">
        <v>1436</v>
      </c>
      <c r="C400" s="2" t="s">
        <v>1702</v>
      </c>
      <c r="E400">
        <v>62134.45</v>
      </c>
      <c r="I400" t="s">
        <v>2174</v>
      </c>
    </row>
    <row r="401" spans="1:9">
      <c r="A401" t="s">
        <v>2392</v>
      </c>
      <c r="B401" t="s">
        <v>1436</v>
      </c>
      <c r="C401" s="2" t="s">
        <v>252</v>
      </c>
      <c r="E401">
        <v>62300.63</v>
      </c>
      <c r="I401" t="s">
        <v>2174</v>
      </c>
    </row>
    <row r="402" spans="1:9">
      <c r="A402" t="s">
        <v>2392</v>
      </c>
      <c r="B402" t="s">
        <v>1436</v>
      </c>
      <c r="C402" s="2" t="s">
        <v>251</v>
      </c>
      <c r="E402">
        <v>62426.48</v>
      </c>
      <c r="I402" t="s">
        <v>2174</v>
      </c>
    </row>
    <row r="403" spans="1:9">
      <c r="A403" t="s">
        <v>2392</v>
      </c>
      <c r="B403" t="s">
        <v>1436</v>
      </c>
      <c r="C403" s="2" t="s">
        <v>249</v>
      </c>
      <c r="E403">
        <v>62514.59</v>
      </c>
      <c r="I403" t="s">
        <v>2174</v>
      </c>
    </row>
    <row r="404" spans="1:9">
      <c r="A404" t="s">
        <v>2392</v>
      </c>
      <c r="B404" t="s">
        <v>1436</v>
      </c>
      <c r="C404" s="2" t="s">
        <v>250</v>
      </c>
      <c r="E404">
        <v>62573.11</v>
      </c>
      <c r="I404" t="s">
        <v>2174</v>
      </c>
    </row>
    <row r="405" spans="1:9">
      <c r="A405" t="s">
        <v>2392</v>
      </c>
      <c r="B405" t="s">
        <v>2396</v>
      </c>
      <c r="C405" s="2" t="s">
        <v>1702</v>
      </c>
      <c r="E405">
        <v>62295.360000000001</v>
      </c>
      <c r="I405" t="s">
        <v>2174</v>
      </c>
    </row>
    <row r="406" spans="1:9">
      <c r="A406" t="s">
        <v>2392</v>
      </c>
      <c r="B406" t="s">
        <v>2396</v>
      </c>
      <c r="C406" s="2" t="s">
        <v>252</v>
      </c>
      <c r="E406">
        <v>62479.040000000001</v>
      </c>
      <c r="I406" t="s">
        <v>2174</v>
      </c>
    </row>
    <row r="407" spans="1:9">
      <c r="A407" t="s">
        <v>2392</v>
      </c>
      <c r="B407" t="s">
        <v>2396</v>
      </c>
      <c r="C407" s="2" t="s">
        <v>251</v>
      </c>
      <c r="E407">
        <v>62632.77</v>
      </c>
      <c r="I407" t="s">
        <v>2174</v>
      </c>
    </row>
    <row r="408" spans="1:9">
      <c r="A408" t="s">
        <v>2392</v>
      </c>
      <c r="B408" t="s">
        <v>2396</v>
      </c>
      <c r="C408" s="2" t="s">
        <v>249</v>
      </c>
      <c r="E408">
        <v>62753.37</v>
      </c>
      <c r="I408" t="s">
        <v>2174</v>
      </c>
    </row>
    <row r="409" spans="1:9">
      <c r="A409" t="s">
        <v>2286</v>
      </c>
      <c r="B409" t="s">
        <v>1234</v>
      </c>
      <c r="C409" s="2" t="s">
        <v>250</v>
      </c>
      <c r="E409">
        <v>62354.76</v>
      </c>
      <c r="H409">
        <v>1.24</v>
      </c>
      <c r="I409" t="s">
        <v>2397</v>
      </c>
    </row>
    <row r="410" spans="1:9">
      <c r="A410" t="s">
        <v>2286</v>
      </c>
      <c r="B410" t="s">
        <v>1234</v>
      </c>
      <c r="C410" s="2" t="s">
        <v>248</v>
      </c>
      <c r="E410">
        <v>62391.05</v>
      </c>
      <c r="H410">
        <v>0.81</v>
      </c>
      <c r="I410" t="s">
        <v>2398</v>
      </c>
    </row>
    <row r="411" spans="1:9">
      <c r="A411" t="s">
        <v>2381</v>
      </c>
      <c r="B411" t="s">
        <v>2399</v>
      </c>
      <c r="C411" s="2" t="s">
        <v>250</v>
      </c>
      <c r="E411">
        <v>62390.2</v>
      </c>
      <c r="I411" t="s">
        <v>2400</v>
      </c>
    </row>
    <row r="412" spans="1:9">
      <c r="A412" t="s">
        <v>2381</v>
      </c>
      <c r="B412" t="s">
        <v>2399</v>
      </c>
      <c r="C412" s="2" t="s">
        <v>252</v>
      </c>
      <c r="E412">
        <v>62392.82</v>
      </c>
      <c r="H412">
        <v>1.35</v>
      </c>
      <c r="I412" t="s">
        <v>2401</v>
      </c>
    </row>
    <row r="413" spans="1:9">
      <c r="A413" t="s">
        <v>2381</v>
      </c>
      <c r="B413" t="s">
        <v>2399</v>
      </c>
      <c r="C413" s="2" t="s">
        <v>249</v>
      </c>
      <c r="E413">
        <v>62486.99</v>
      </c>
      <c r="I413" t="s">
        <v>2402</v>
      </c>
    </row>
    <row r="414" spans="1:9">
      <c r="A414" t="s">
        <v>2381</v>
      </c>
      <c r="B414" t="s">
        <v>2399</v>
      </c>
      <c r="C414" s="2" t="s">
        <v>251</v>
      </c>
      <c r="E414">
        <v>62505.14</v>
      </c>
      <c r="I414" t="s">
        <v>2403</v>
      </c>
    </row>
    <row r="415" spans="1:9">
      <c r="A415" t="s">
        <v>2390</v>
      </c>
      <c r="B415" t="s">
        <v>1475</v>
      </c>
      <c r="C415" s="2" t="s">
        <v>252</v>
      </c>
      <c r="E415">
        <v>62670.81</v>
      </c>
      <c r="I415">
        <v>88</v>
      </c>
    </row>
    <row r="416" spans="1:9">
      <c r="A416" t="s">
        <v>2390</v>
      </c>
      <c r="B416" t="s">
        <v>1475</v>
      </c>
      <c r="C416" s="2" t="s">
        <v>249</v>
      </c>
      <c r="E416">
        <v>62760.73</v>
      </c>
      <c r="I416">
        <v>83</v>
      </c>
    </row>
    <row r="417" spans="1:9">
      <c r="A417" t="s">
        <v>2390</v>
      </c>
      <c r="B417" t="s">
        <v>1475</v>
      </c>
      <c r="C417" s="2" t="s">
        <v>248</v>
      </c>
      <c r="E417">
        <v>62768.160000000003</v>
      </c>
      <c r="I417">
        <v>81</v>
      </c>
    </row>
    <row r="418" spans="1:9">
      <c r="A418" t="s">
        <v>2390</v>
      </c>
      <c r="B418" t="s">
        <v>1475</v>
      </c>
      <c r="C418" s="2" t="s">
        <v>250</v>
      </c>
      <c r="E418">
        <v>62787.11</v>
      </c>
      <c r="I418">
        <v>82</v>
      </c>
    </row>
    <row r="419" spans="1:9">
      <c r="A419" t="s">
        <v>2390</v>
      </c>
      <c r="B419" t="s">
        <v>1475</v>
      </c>
      <c r="C419" s="2" t="s">
        <v>251</v>
      </c>
      <c r="E419">
        <v>62851.24</v>
      </c>
      <c r="I419">
        <v>87</v>
      </c>
    </row>
    <row r="420" spans="1:9">
      <c r="A420" t="s">
        <v>2310</v>
      </c>
      <c r="B420" t="s">
        <v>2404</v>
      </c>
      <c r="C420" s="2" t="s">
        <v>249</v>
      </c>
      <c r="E420">
        <v>63081.279999999999</v>
      </c>
      <c r="H420">
        <v>1.24</v>
      </c>
      <c r="I420" t="s">
        <v>2405</v>
      </c>
    </row>
    <row r="421" spans="1:9">
      <c r="A421" t="s">
        <v>2310</v>
      </c>
      <c r="B421" t="s">
        <v>2404</v>
      </c>
      <c r="C421" s="2" t="s">
        <v>250</v>
      </c>
      <c r="E421">
        <v>63114.11</v>
      </c>
      <c r="H421">
        <v>0.75800000000000001</v>
      </c>
      <c r="I421" t="s">
        <v>2406</v>
      </c>
    </row>
    <row r="422" spans="1:9">
      <c r="A422" t="s">
        <v>2291</v>
      </c>
      <c r="B422" t="s">
        <v>214</v>
      </c>
      <c r="C422" s="2" t="s">
        <v>249</v>
      </c>
      <c r="E422">
        <v>63139.7</v>
      </c>
      <c r="I422" t="s">
        <v>2407</v>
      </c>
    </row>
    <row r="423" spans="1:9">
      <c r="A423" t="s">
        <v>2392</v>
      </c>
      <c r="B423" t="s">
        <v>1304</v>
      </c>
      <c r="C423" s="2" t="s">
        <v>252</v>
      </c>
      <c r="E423">
        <v>63231.43</v>
      </c>
      <c r="I423" t="s">
        <v>2174</v>
      </c>
    </row>
    <row r="424" spans="1:9">
      <c r="A424" t="s">
        <v>2392</v>
      </c>
      <c r="B424" t="s">
        <v>1304</v>
      </c>
      <c r="C424" s="2" t="s">
        <v>251</v>
      </c>
      <c r="E424">
        <v>63424</v>
      </c>
      <c r="I424" t="s">
        <v>2174</v>
      </c>
    </row>
    <row r="425" spans="1:9">
      <c r="A425" t="s">
        <v>2381</v>
      </c>
      <c r="B425" t="s">
        <v>644</v>
      </c>
      <c r="C425" s="2" t="s">
        <v>1702</v>
      </c>
      <c r="E425">
        <v>63288.78</v>
      </c>
      <c r="H425">
        <v>1.127</v>
      </c>
      <c r="I425" t="s">
        <v>2408</v>
      </c>
    </row>
    <row r="426" spans="1:9">
      <c r="A426" t="s">
        <v>2381</v>
      </c>
      <c r="B426" t="s">
        <v>644</v>
      </c>
      <c r="C426" s="2" t="s">
        <v>252</v>
      </c>
      <c r="E426">
        <v>63548.49</v>
      </c>
      <c r="H426">
        <v>0.92</v>
      </c>
      <c r="I426" t="s">
        <v>2409</v>
      </c>
    </row>
    <row r="427" spans="1:9">
      <c r="A427" t="s">
        <v>2291</v>
      </c>
      <c r="B427" t="s">
        <v>291</v>
      </c>
      <c r="C427" s="2" t="s">
        <v>251</v>
      </c>
      <c r="E427">
        <v>63288.78</v>
      </c>
      <c r="I427" t="s">
        <v>2410</v>
      </c>
    </row>
    <row r="428" spans="1:9">
      <c r="A428" t="s">
        <v>2411</v>
      </c>
      <c r="B428" t="s">
        <v>606</v>
      </c>
      <c r="C428" s="2" t="s">
        <v>252</v>
      </c>
      <c r="E428">
        <v>63347.91</v>
      </c>
      <c r="I428" t="s">
        <v>2412</v>
      </c>
    </row>
    <row r="429" spans="1:9">
      <c r="A429" t="s">
        <v>2411</v>
      </c>
      <c r="B429" t="s">
        <v>606</v>
      </c>
      <c r="C429" s="2" t="s">
        <v>1702</v>
      </c>
      <c r="E429">
        <v>63449.13</v>
      </c>
      <c r="I429" t="s">
        <v>2413</v>
      </c>
    </row>
    <row r="430" spans="1:9">
      <c r="A430" t="s">
        <v>2291</v>
      </c>
      <c r="B430" t="s">
        <v>1393</v>
      </c>
      <c r="C430" s="2" t="s">
        <v>720</v>
      </c>
      <c r="E430">
        <v>63363.54</v>
      </c>
      <c r="H430">
        <v>1.2310000000000001</v>
      </c>
      <c r="I430" t="s">
        <v>2414</v>
      </c>
    </row>
    <row r="431" spans="1:9">
      <c r="A431" t="s">
        <v>2291</v>
      </c>
      <c r="B431" t="s">
        <v>1393</v>
      </c>
      <c r="C431" s="2" t="s">
        <v>251</v>
      </c>
      <c r="E431">
        <v>63395.45</v>
      </c>
      <c r="H431">
        <v>0.7</v>
      </c>
      <c r="I431" t="s">
        <v>2415</v>
      </c>
    </row>
    <row r="432" spans="1:9">
      <c r="A432" t="s">
        <v>2291</v>
      </c>
      <c r="B432" t="s">
        <v>1393</v>
      </c>
      <c r="C432" s="2" t="s">
        <v>252</v>
      </c>
      <c r="E432">
        <v>63444.61</v>
      </c>
      <c r="I432" t="s">
        <v>2416</v>
      </c>
    </row>
    <row r="433" spans="1:9">
      <c r="A433" t="s">
        <v>2291</v>
      </c>
      <c r="B433" t="s">
        <v>1393</v>
      </c>
      <c r="C433" s="2" t="s">
        <v>1702</v>
      </c>
      <c r="E433">
        <v>63457.85</v>
      </c>
      <c r="H433">
        <v>1.1399999999999999</v>
      </c>
      <c r="I433" t="s">
        <v>2417</v>
      </c>
    </row>
    <row r="434" spans="1:9">
      <c r="B434" t="s">
        <v>291</v>
      </c>
      <c r="C434" s="2" t="s">
        <v>249</v>
      </c>
      <c r="E434">
        <v>63371.58</v>
      </c>
      <c r="I434" t="s">
        <v>2174</v>
      </c>
    </row>
    <row r="435" spans="1:9">
      <c r="A435" t="s">
        <v>2390</v>
      </c>
      <c r="B435" t="s">
        <v>1453</v>
      </c>
      <c r="C435" s="2" t="s">
        <v>252</v>
      </c>
      <c r="E435">
        <v>63374.53</v>
      </c>
      <c r="I435">
        <v>91</v>
      </c>
    </row>
    <row r="436" spans="1:9">
      <c r="A436" t="s">
        <v>2390</v>
      </c>
      <c r="B436" t="s">
        <v>1453</v>
      </c>
      <c r="C436" s="2" t="s">
        <v>249</v>
      </c>
      <c r="E436">
        <v>63522.98</v>
      </c>
      <c r="I436">
        <v>91</v>
      </c>
    </row>
    <row r="437" spans="1:9">
      <c r="A437" t="s">
        <v>2390</v>
      </c>
      <c r="B437" t="s">
        <v>1453</v>
      </c>
      <c r="C437" s="2" t="s">
        <v>251</v>
      </c>
      <c r="E437">
        <v>63546.3</v>
      </c>
      <c r="I437">
        <v>89</v>
      </c>
    </row>
    <row r="438" spans="1:9">
      <c r="A438" t="s">
        <v>2390</v>
      </c>
      <c r="B438" t="s">
        <v>1453</v>
      </c>
      <c r="C438" s="2" t="s">
        <v>250</v>
      </c>
      <c r="E438">
        <v>63583.040000000001</v>
      </c>
      <c r="I438">
        <v>92</v>
      </c>
    </row>
    <row r="439" spans="1:9">
      <c r="A439" t="s">
        <v>2366</v>
      </c>
      <c r="B439" t="s">
        <v>1293</v>
      </c>
      <c r="C439" s="2" t="s">
        <v>249</v>
      </c>
      <c r="E439">
        <v>63764.639999999999</v>
      </c>
      <c r="I439" t="s">
        <v>2418</v>
      </c>
    </row>
    <row r="440" spans="1:9">
      <c r="A440" t="s">
        <v>2366</v>
      </c>
      <c r="B440" t="s">
        <v>1293</v>
      </c>
      <c r="C440" s="2" t="s">
        <v>250</v>
      </c>
      <c r="E440">
        <v>63845.32</v>
      </c>
      <c r="I440" t="s">
        <v>2419</v>
      </c>
    </row>
    <row r="441" spans="1:9">
      <c r="A441" t="s">
        <v>2371</v>
      </c>
      <c r="B441" t="s">
        <v>1573</v>
      </c>
      <c r="C441" s="2" t="s">
        <v>1702</v>
      </c>
      <c r="E441">
        <v>64051.91</v>
      </c>
      <c r="I441" t="s">
        <v>2420</v>
      </c>
    </row>
    <row r="442" spans="1:9">
      <c r="B442" t="s">
        <v>291</v>
      </c>
      <c r="C442" s="2" t="s">
        <v>252</v>
      </c>
      <c r="E442">
        <v>64055.37</v>
      </c>
      <c r="I442" t="s">
        <v>2174</v>
      </c>
    </row>
    <row r="443" spans="1:9">
      <c r="A443" t="s">
        <v>2411</v>
      </c>
      <c r="B443" t="s">
        <v>1277</v>
      </c>
      <c r="C443" s="2" t="s">
        <v>251</v>
      </c>
      <c r="E443">
        <v>64409.69</v>
      </c>
      <c r="H443">
        <v>1.42</v>
      </c>
      <c r="I443" t="s">
        <v>2421</v>
      </c>
    </row>
    <row r="444" spans="1:9">
      <c r="A444" t="s">
        <v>2411</v>
      </c>
      <c r="B444" t="s">
        <v>1277</v>
      </c>
      <c r="C444" s="2" t="s">
        <v>248</v>
      </c>
      <c r="E444">
        <v>64638.68</v>
      </c>
      <c r="H444">
        <v>0.22</v>
      </c>
      <c r="I444" t="s">
        <v>2422</v>
      </c>
    </row>
    <row r="445" spans="1:9">
      <c r="A445" t="s">
        <v>2411</v>
      </c>
      <c r="B445" t="s">
        <v>1277</v>
      </c>
      <c r="C445" s="2" t="s">
        <v>250</v>
      </c>
      <c r="E445">
        <v>64683.95</v>
      </c>
      <c r="H445">
        <v>1.22</v>
      </c>
      <c r="I445" t="s">
        <v>2423</v>
      </c>
    </row>
    <row r="446" spans="1:9">
      <c r="A446" t="s">
        <v>2411</v>
      </c>
      <c r="B446" t="s">
        <v>1277</v>
      </c>
      <c r="C446" s="2" t="s">
        <v>249</v>
      </c>
      <c r="E446">
        <v>64712.94</v>
      </c>
      <c r="I446" t="s">
        <v>2424</v>
      </c>
    </row>
    <row r="447" spans="1:9">
      <c r="A447" t="s">
        <v>2411</v>
      </c>
      <c r="B447" t="s">
        <v>214</v>
      </c>
      <c r="C447" s="2" t="s">
        <v>252</v>
      </c>
      <c r="E447">
        <v>64585.440000000002</v>
      </c>
      <c r="H447">
        <v>1.3069999999999999</v>
      </c>
      <c r="I447" t="s">
        <v>2425</v>
      </c>
    </row>
    <row r="448" spans="1:9">
      <c r="A448" t="s">
        <v>2411</v>
      </c>
      <c r="B448" t="s">
        <v>2426</v>
      </c>
      <c r="C448" s="2" t="s">
        <v>251</v>
      </c>
      <c r="E448">
        <v>64649.2</v>
      </c>
      <c r="I448" t="s">
        <v>2427</v>
      </c>
    </row>
    <row r="449" spans="1:9">
      <c r="A449" t="s">
        <v>2411</v>
      </c>
      <c r="B449" t="s">
        <v>2426</v>
      </c>
      <c r="C449" s="2" t="s">
        <v>252</v>
      </c>
      <c r="E449">
        <v>65262.28</v>
      </c>
      <c r="H449">
        <v>1.1299999999999999</v>
      </c>
      <c r="I449" t="s">
        <v>2428</v>
      </c>
    </row>
    <row r="450" spans="1:9">
      <c r="A450" t="s">
        <v>2381</v>
      </c>
      <c r="B450" t="s">
        <v>2429</v>
      </c>
      <c r="C450" s="2" t="s">
        <v>720</v>
      </c>
      <c r="E450">
        <v>64731.88</v>
      </c>
      <c r="H450">
        <v>1.236</v>
      </c>
      <c r="I450" t="s">
        <v>2430</v>
      </c>
    </row>
    <row r="451" spans="1:9">
      <c r="A451" t="s">
        <v>2381</v>
      </c>
      <c r="B451" t="s">
        <v>2429</v>
      </c>
      <c r="C451" s="2" t="s">
        <v>1702</v>
      </c>
      <c r="E451">
        <v>64819.53</v>
      </c>
      <c r="H451">
        <v>1.137</v>
      </c>
      <c r="I451" t="s">
        <v>2431</v>
      </c>
    </row>
    <row r="452" spans="1:9">
      <c r="A452" t="s">
        <v>2381</v>
      </c>
      <c r="B452" t="s">
        <v>2429</v>
      </c>
      <c r="C452" s="2" t="s">
        <v>252</v>
      </c>
      <c r="E452">
        <v>64888</v>
      </c>
      <c r="H452">
        <v>0.97399999999999998</v>
      </c>
      <c r="I452" t="s">
        <v>2432</v>
      </c>
    </row>
    <row r="453" spans="1:9">
      <c r="A453" t="s">
        <v>2381</v>
      </c>
      <c r="B453" t="s">
        <v>2429</v>
      </c>
      <c r="C453" s="2" t="s">
        <v>251</v>
      </c>
      <c r="E453">
        <v>64920.33</v>
      </c>
      <c r="I453" t="s">
        <v>2433</v>
      </c>
    </row>
    <row r="454" spans="1:9">
      <c r="A454" t="s">
        <v>2434</v>
      </c>
      <c r="B454" t="s">
        <v>1481</v>
      </c>
      <c r="E454">
        <v>64806.7</v>
      </c>
      <c r="I454" t="s">
        <v>2174</v>
      </c>
    </row>
    <row r="455" spans="1:9">
      <c r="A455" t="s">
        <v>2366</v>
      </c>
      <c r="B455" t="s">
        <v>1324</v>
      </c>
      <c r="C455" s="2" t="s">
        <v>249</v>
      </c>
      <c r="E455">
        <v>64823.12</v>
      </c>
      <c r="I455" t="s">
        <v>2435</v>
      </c>
    </row>
    <row r="456" spans="1:9">
      <c r="A456" t="s">
        <v>2366</v>
      </c>
      <c r="B456" t="s">
        <v>1324</v>
      </c>
      <c r="C456" s="2" t="s">
        <v>251</v>
      </c>
      <c r="E456">
        <v>64988.22</v>
      </c>
      <c r="I456" t="s">
        <v>2436</v>
      </c>
    </row>
    <row r="457" spans="1:9">
      <c r="B457" t="s">
        <v>291</v>
      </c>
      <c r="C457" s="2" t="s">
        <v>251</v>
      </c>
      <c r="E457">
        <v>65305.13</v>
      </c>
      <c r="I457" t="s">
        <v>2174</v>
      </c>
    </row>
    <row r="458" spans="1:9">
      <c r="A458" t="s">
        <v>2381</v>
      </c>
      <c r="B458" t="s">
        <v>291</v>
      </c>
      <c r="C458" s="2" t="s">
        <v>251</v>
      </c>
      <c r="E458">
        <v>65616.600000000006</v>
      </c>
      <c r="H458">
        <v>1.0149999999999999</v>
      </c>
      <c r="I458" t="s">
        <v>2437</v>
      </c>
    </row>
    <row r="459" spans="1:9">
      <c r="B459" t="s">
        <v>291</v>
      </c>
      <c r="C459" s="2" t="s">
        <v>249</v>
      </c>
      <c r="E459">
        <v>65649.13</v>
      </c>
      <c r="F459" t="s">
        <v>34</v>
      </c>
      <c r="I459" t="s">
        <v>2174</v>
      </c>
    </row>
    <row r="460" spans="1:9">
      <c r="A460" t="s">
        <v>2381</v>
      </c>
      <c r="B460" t="s">
        <v>291</v>
      </c>
      <c r="C460" s="2" t="s">
        <v>252</v>
      </c>
      <c r="E460">
        <v>65768.81</v>
      </c>
      <c r="H460">
        <v>1.1200000000000001</v>
      </c>
      <c r="I460" t="s">
        <v>2438</v>
      </c>
    </row>
    <row r="461" spans="1:9">
      <c r="A461" t="s">
        <v>2297</v>
      </c>
      <c r="B461" t="s">
        <v>291</v>
      </c>
      <c r="C461" s="2" t="s">
        <v>249</v>
      </c>
      <c r="E461">
        <v>65873.399999999994</v>
      </c>
      <c r="I461" t="s">
        <v>2439</v>
      </c>
    </row>
    <row r="462" spans="1:9">
      <c r="A462" t="s">
        <v>2297</v>
      </c>
      <c r="B462" t="s">
        <v>291</v>
      </c>
      <c r="C462" s="2" t="s">
        <v>251</v>
      </c>
      <c r="E462">
        <v>65876.34</v>
      </c>
      <c r="I462" t="s">
        <v>2440</v>
      </c>
    </row>
    <row r="463" spans="1:9">
      <c r="A463" t="s">
        <v>2297</v>
      </c>
      <c r="B463" t="s">
        <v>1332</v>
      </c>
      <c r="C463" s="2" t="s">
        <v>1702</v>
      </c>
      <c r="E463">
        <v>65887.31</v>
      </c>
      <c r="H463">
        <v>1.2589999999999999</v>
      </c>
      <c r="I463" t="s">
        <v>2441</v>
      </c>
    </row>
    <row r="464" spans="1:9">
      <c r="A464" t="s">
        <v>2297</v>
      </c>
      <c r="B464" t="s">
        <v>1332</v>
      </c>
      <c r="C464" s="2" t="s">
        <v>252</v>
      </c>
      <c r="E464">
        <v>65908.92</v>
      </c>
      <c r="H464">
        <v>1.1599999999999999</v>
      </c>
      <c r="I464" t="s">
        <v>2442</v>
      </c>
    </row>
    <row r="465" spans="1:9">
      <c r="A465" t="s">
        <v>2443</v>
      </c>
      <c r="B465" t="s">
        <v>216</v>
      </c>
      <c r="C465" s="2" t="s">
        <v>249</v>
      </c>
      <c r="E465">
        <v>65946.59</v>
      </c>
      <c r="H465">
        <v>1.3</v>
      </c>
      <c r="I465" t="s">
        <v>2444</v>
      </c>
    </row>
    <row r="466" spans="1:9">
      <c r="A466" t="s">
        <v>2443</v>
      </c>
      <c r="B466" t="s">
        <v>291</v>
      </c>
      <c r="C466" s="2" t="s">
        <v>250</v>
      </c>
      <c r="E466">
        <v>65961.899999999994</v>
      </c>
      <c r="I466" t="s">
        <v>2445</v>
      </c>
    </row>
    <row r="467" spans="1:9">
      <c r="A467" t="s">
        <v>2381</v>
      </c>
      <c r="B467" t="s">
        <v>2446</v>
      </c>
      <c r="C467" s="2" t="s">
        <v>249</v>
      </c>
      <c r="E467">
        <v>66020.63</v>
      </c>
      <c r="I467" t="s">
        <v>2447</v>
      </c>
    </row>
    <row r="468" spans="1:9">
      <c r="A468" t="s">
        <v>2381</v>
      </c>
      <c r="B468" t="s">
        <v>291</v>
      </c>
      <c r="C468" s="2" t="s">
        <v>251</v>
      </c>
      <c r="E468">
        <v>66149.100000000006</v>
      </c>
      <c r="H468">
        <v>1.1399999999999999</v>
      </c>
      <c r="I468" t="s">
        <v>2448</v>
      </c>
    </row>
    <row r="469" spans="1:9">
      <c r="A469" t="s">
        <v>2449</v>
      </c>
      <c r="B469" t="s">
        <v>2450</v>
      </c>
      <c r="C469" s="2" t="s">
        <v>251</v>
      </c>
      <c r="E469">
        <v>66334.47</v>
      </c>
      <c r="H469">
        <v>0.76400000000000001</v>
      </c>
      <c r="I469" t="s">
        <v>2451</v>
      </c>
    </row>
    <row r="470" spans="1:9">
      <c r="A470" t="s">
        <v>2449</v>
      </c>
      <c r="B470" t="s">
        <v>2450</v>
      </c>
      <c r="C470" s="2" t="s">
        <v>252</v>
      </c>
      <c r="E470">
        <v>66356.399999999994</v>
      </c>
      <c r="H470">
        <v>1.022</v>
      </c>
      <c r="I470" t="s">
        <v>2452</v>
      </c>
    </row>
    <row r="471" spans="1:9">
      <c r="A471" t="s">
        <v>2449</v>
      </c>
      <c r="B471" t="s">
        <v>2450</v>
      </c>
      <c r="C471" s="2" t="s">
        <v>1702</v>
      </c>
      <c r="E471">
        <v>66418.55</v>
      </c>
      <c r="I471" t="s">
        <v>2453</v>
      </c>
    </row>
    <row r="472" spans="1:9">
      <c r="A472" t="s">
        <v>2449</v>
      </c>
      <c r="B472" t="s">
        <v>2450</v>
      </c>
      <c r="C472" s="2" t="s">
        <v>720</v>
      </c>
      <c r="E472">
        <v>66568.58</v>
      </c>
      <c r="H472">
        <v>1.23</v>
      </c>
      <c r="I472" t="s">
        <v>2454</v>
      </c>
    </row>
    <row r="473" spans="1:9">
      <c r="A473" t="s">
        <v>2390</v>
      </c>
      <c r="B473" t="s">
        <v>291</v>
      </c>
      <c r="C473" s="2" t="s">
        <v>249</v>
      </c>
      <c r="E473">
        <v>66395.19</v>
      </c>
      <c r="H473">
        <v>0.61099999999999999</v>
      </c>
      <c r="I473" t="s">
        <v>2455</v>
      </c>
    </row>
    <row r="474" spans="1:9">
      <c r="A474" t="s">
        <v>2390</v>
      </c>
      <c r="B474" t="s">
        <v>291</v>
      </c>
      <c r="C474" s="2" t="s">
        <v>251</v>
      </c>
      <c r="E474">
        <v>66454.27</v>
      </c>
      <c r="H474">
        <v>0.93200000000000005</v>
      </c>
      <c r="I474" t="s">
        <v>2456</v>
      </c>
    </row>
    <row r="475" spans="1:9">
      <c r="A475" t="s">
        <v>2443</v>
      </c>
      <c r="B475" t="s">
        <v>633</v>
      </c>
      <c r="C475" s="2" t="s">
        <v>250</v>
      </c>
      <c r="E475">
        <v>66504.850000000006</v>
      </c>
      <c r="I475" t="s">
        <v>2457</v>
      </c>
    </row>
    <row r="476" spans="1:9">
      <c r="A476" t="s">
        <v>2390</v>
      </c>
      <c r="B476" t="s">
        <v>1387</v>
      </c>
      <c r="C476" s="2" t="s">
        <v>252</v>
      </c>
      <c r="E476">
        <v>66522.62</v>
      </c>
      <c r="H476">
        <v>1.1299999999999999</v>
      </c>
      <c r="I476" t="s">
        <v>2458</v>
      </c>
    </row>
    <row r="477" spans="1:9">
      <c r="A477" t="s">
        <v>2390</v>
      </c>
      <c r="B477" t="s">
        <v>1387</v>
      </c>
      <c r="C477" s="2" t="s">
        <v>1702</v>
      </c>
      <c r="E477">
        <v>66573.600000000006</v>
      </c>
      <c r="H477">
        <v>1.24</v>
      </c>
      <c r="I477" t="s">
        <v>2459</v>
      </c>
    </row>
    <row r="478" spans="1:9">
      <c r="A478" t="s">
        <v>2411</v>
      </c>
      <c r="B478" t="s">
        <v>219</v>
      </c>
      <c r="C478" s="2" t="s">
        <v>251</v>
      </c>
      <c r="E478">
        <v>66600.17</v>
      </c>
      <c r="I478" t="s">
        <v>2460</v>
      </c>
    </row>
    <row r="479" spans="1:9">
      <c r="A479" t="s">
        <v>2411</v>
      </c>
      <c r="B479" t="s">
        <v>219</v>
      </c>
      <c r="C479" s="2" t="s">
        <v>249</v>
      </c>
      <c r="E479">
        <v>66654.289999999994</v>
      </c>
      <c r="I479" t="s">
        <v>2461</v>
      </c>
    </row>
    <row r="480" spans="1:9">
      <c r="A480" t="s">
        <v>2462</v>
      </c>
      <c r="B480" t="s">
        <v>1313</v>
      </c>
      <c r="C480" s="2" t="s">
        <v>252</v>
      </c>
      <c r="E480">
        <v>66630.92</v>
      </c>
      <c r="H480">
        <v>1.1299999999999999</v>
      </c>
      <c r="I480" t="s">
        <v>2463</v>
      </c>
    </row>
    <row r="481" spans="1:9">
      <c r="A481" t="s">
        <v>2462</v>
      </c>
      <c r="B481" t="s">
        <v>1313</v>
      </c>
      <c r="C481" s="2" t="s">
        <v>251</v>
      </c>
      <c r="E481">
        <v>66737.820000000007</v>
      </c>
      <c r="H481">
        <v>0.46</v>
      </c>
      <c r="I481" t="s">
        <v>2464</v>
      </c>
    </row>
    <row r="482" spans="1:9">
      <c r="A482" t="s">
        <v>2465</v>
      </c>
      <c r="B482" t="s">
        <v>1373</v>
      </c>
      <c r="C482" s="2" t="s">
        <v>251</v>
      </c>
      <c r="E482">
        <v>66783.5</v>
      </c>
      <c r="H482">
        <v>1.21</v>
      </c>
      <c r="I482" t="s">
        <v>2466</v>
      </c>
    </row>
    <row r="483" spans="1:9">
      <c r="A483" t="s">
        <v>2465</v>
      </c>
      <c r="B483" t="s">
        <v>1373</v>
      </c>
      <c r="C483" s="2" t="s">
        <v>249</v>
      </c>
      <c r="E483">
        <v>66837.16</v>
      </c>
      <c r="I483" t="s">
        <v>2467</v>
      </c>
    </row>
    <row r="484" spans="1:9">
      <c r="A484" t="s">
        <v>2465</v>
      </c>
      <c r="B484" t="s">
        <v>1373</v>
      </c>
      <c r="C484" s="2" t="s">
        <v>250</v>
      </c>
      <c r="E484">
        <v>66840.800000000003</v>
      </c>
      <c r="H484">
        <v>0.46</v>
      </c>
      <c r="I484" t="s">
        <v>2468</v>
      </c>
    </row>
    <row r="485" spans="1:9">
      <c r="A485" t="s">
        <v>2465</v>
      </c>
      <c r="B485" t="s">
        <v>1373</v>
      </c>
      <c r="C485" s="2" t="s">
        <v>252</v>
      </c>
      <c r="E485">
        <v>66855</v>
      </c>
      <c r="H485">
        <v>1.33</v>
      </c>
      <c r="I485" t="s">
        <v>2469</v>
      </c>
    </row>
    <row r="486" spans="1:9">
      <c r="A486" t="s">
        <v>2470</v>
      </c>
      <c r="B486" t="s">
        <v>213</v>
      </c>
      <c r="C486" s="2" t="s">
        <v>249</v>
      </c>
      <c r="E486">
        <v>66910.539999999994</v>
      </c>
      <c r="I486" t="s">
        <v>2471</v>
      </c>
    </row>
    <row r="487" spans="1:9">
      <c r="A487" t="s">
        <v>2470</v>
      </c>
      <c r="B487" t="s">
        <v>216</v>
      </c>
      <c r="C487" s="2" t="s">
        <v>251</v>
      </c>
      <c r="E487">
        <v>66981.3</v>
      </c>
      <c r="H487">
        <v>1.33</v>
      </c>
      <c r="I487" t="s">
        <v>2472</v>
      </c>
    </row>
    <row r="488" spans="1:9">
      <c r="A488" t="s">
        <v>2411</v>
      </c>
      <c r="B488" t="s">
        <v>218</v>
      </c>
      <c r="C488" s="2" t="s">
        <v>249</v>
      </c>
      <c r="E488">
        <v>67008.289999999994</v>
      </c>
      <c r="I488" t="s">
        <v>2473</v>
      </c>
    </row>
    <row r="489" spans="1:9">
      <c r="A489" t="s">
        <v>2474</v>
      </c>
      <c r="B489" t="s">
        <v>1481</v>
      </c>
      <c r="E489">
        <v>67102.240000000005</v>
      </c>
      <c r="I489" t="s">
        <v>2174</v>
      </c>
    </row>
    <row r="490" spans="1:9">
      <c r="A490" t="s">
        <v>2475</v>
      </c>
      <c r="B490" t="s">
        <v>2476</v>
      </c>
      <c r="C490" s="2" t="s">
        <v>1702</v>
      </c>
      <c r="E490">
        <v>67504.899999999994</v>
      </c>
      <c r="H490">
        <v>1.0900000000000001</v>
      </c>
      <c r="I490" t="s">
        <v>2477</v>
      </c>
    </row>
    <row r="491" spans="1:9">
      <c r="A491" t="s">
        <v>2475</v>
      </c>
      <c r="B491" t="s">
        <v>2476</v>
      </c>
      <c r="C491" s="2" t="s">
        <v>252</v>
      </c>
      <c r="E491">
        <v>67576.84</v>
      </c>
      <c r="H491">
        <v>0.9</v>
      </c>
      <c r="I491" t="s">
        <v>2478</v>
      </c>
    </row>
    <row r="492" spans="1:9">
      <c r="A492" t="s">
        <v>2479</v>
      </c>
      <c r="B492" t="s">
        <v>1481</v>
      </c>
      <c r="E492">
        <v>67655.820000000007</v>
      </c>
      <c r="I492" t="s">
        <v>2174</v>
      </c>
    </row>
    <row r="493" spans="1:9">
      <c r="A493" t="s">
        <v>2480</v>
      </c>
      <c r="B493" t="s">
        <v>1417</v>
      </c>
      <c r="C493" s="2" t="s">
        <v>1702</v>
      </c>
      <c r="E493">
        <v>67752.84</v>
      </c>
      <c r="H493">
        <v>1.266</v>
      </c>
      <c r="I493" t="s">
        <v>2481</v>
      </c>
    </row>
    <row r="494" spans="1:9">
      <c r="A494" t="s">
        <v>2480</v>
      </c>
      <c r="B494" t="s">
        <v>1417</v>
      </c>
      <c r="C494" s="2" t="s">
        <v>252</v>
      </c>
      <c r="E494">
        <v>67819.17</v>
      </c>
      <c r="I494" t="s">
        <v>2482</v>
      </c>
    </row>
    <row r="495" spans="1:9">
      <c r="A495" t="s">
        <v>2480</v>
      </c>
      <c r="B495" t="s">
        <v>1417</v>
      </c>
      <c r="C495" s="2" t="s">
        <v>251</v>
      </c>
      <c r="E495">
        <v>67891.360000000001</v>
      </c>
      <c r="I495" t="s">
        <v>2483</v>
      </c>
    </row>
    <row r="496" spans="1:9">
      <c r="A496" t="s">
        <v>2480</v>
      </c>
      <c r="B496" t="s">
        <v>1417</v>
      </c>
      <c r="C496" s="2" t="s">
        <v>249</v>
      </c>
      <c r="E496">
        <v>67965.5</v>
      </c>
      <c r="I496" t="s">
        <v>2484</v>
      </c>
    </row>
    <row r="497" spans="1:9">
      <c r="A497" t="s">
        <v>2485</v>
      </c>
      <c r="B497" t="s">
        <v>291</v>
      </c>
      <c r="E497">
        <v>67890</v>
      </c>
      <c r="I497" t="s">
        <v>2174</v>
      </c>
    </row>
    <row r="498" spans="1:9">
      <c r="A498" t="s">
        <v>2486</v>
      </c>
      <c r="B498" t="s">
        <v>1481</v>
      </c>
      <c r="E498">
        <v>68030.45</v>
      </c>
      <c r="I498" t="s">
        <v>2174</v>
      </c>
    </row>
    <row r="499" spans="1:9">
      <c r="A499" t="s">
        <v>2390</v>
      </c>
      <c r="B499" t="s">
        <v>214</v>
      </c>
      <c r="C499" s="2" t="s">
        <v>252</v>
      </c>
      <c r="E499">
        <v>68286.44</v>
      </c>
      <c r="H499">
        <v>1.32</v>
      </c>
      <c r="I499" t="s">
        <v>2487</v>
      </c>
    </row>
    <row r="500" spans="1:9">
      <c r="A500" t="s">
        <v>2390</v>
      </c>
      <c r="B500" t="s">
        <v>214</v>
      </c>
      <c r="C500" s="2" t="s">
        <v>251</v>
      </c>
      <c r="E500">
        <v>68338.59</v>
      </c>
      <c r="I500" t="s">
        <v>2488</v>
      </c>
    </row>
    <row r="501" spans="1:9">
      <c r="A501" t="s">
        <v>2489</v>
      </c>
      <c r="B501" t="s">
        <v>1481</v>
      </c>
      <c r="E501">
        <v>68306.899999999994</v>
      </c>
      <c r="I501" t="s">
        <v>2174</v>
      </c>
    </row>
    <row r="502" spans="1:9">
      <c r="A502" t="s">
        <v>2490</v>
      </c>
      <c r="B502" t="s">
        <v>1481</v>
      </c>
      <c r="E502">
        <v>68504.09</v>
      </c>
      <c r="I502" t="s">
        <v>2174</v>
      </c>
    </row>
    <row r="503" spans="1:9">
      <c r="A503" t="s">
        <v>2491</v>
      </c>
      <c r="B503" t="s">
        <v>1481</v>
      </c>
      <c r="E503">
        <v>68653.55</v>
      </c>
      <c r="I503" t="s">
        <v>2174</v>
      </c>
    </row>
    <row r="504" spans="1:9">
      <c r="A504" t="s">
        <v>2492</v>
      </c>
      <c r="B504" t="s">
        <v>2493</v>
      </c>
      <c r="C504" s="2" t="s">
        <v>1702</v>
      </c>
      <c r="E504">
        <v>68693.02</v>
      </c>
      <c r="I504" t="s">
        <v>2174</v>
      </c>
    </row>
    <row r="505" spans="1:9">
      <c r="A505" t="s">
        <v>2492</v>
      </c>
      <c r="B505" t="s">
        <v>2493</v>
      </c>
      <c r="C505" s="2" t="s">
        <v>252</v>
      </c>
      <c r="E505">
        <v>68716.22</v>
      </c>
      <c r="H505">
        <v>1.17</v>
      </c>
      <c r="I505" t="s">
        <v>2174</v>
      </c>
    </row>
    <row r="506" spans="1:9">
      <c r="A506" t="s">
        <v>2494</v>
      </c>
      <c r="B506" t="s">
        <v>1481</v>
      </c>
      <c r="E506">
        <v>68769.600000000006</v>
      </c>
      <c r="I506" t="s">
        <v>2174</v>
      </c>
    </row>
    <row r="507" spans="1:9">
      <c r="B507" t="s">
        <v>2495</v>
      </c>
      <c r="C507" s="2" t="s">
        <v>1322</v>
      </c>
      <c r="E507">
        <v>68797.56</v>
      </c>
      <c r="F507" t="s">
        <v>34</v>
      </c>
      <c r="H507">
        <v>1.07</v>
      </c>
      <c r="I507" t="s">
        <v>2174</v>
      </c>
    </row>
    <row r="508" spans="1:9">
      <c r="B508" t="s">
        <v>2495</v>
      </c>
      <c r="C508" s="2" t="s">
        <v>720</v>
      </c>
      <c r="E508">
        <v>68842.52</v>
      </c>
      <c r="F508" t="s">
        <v>34</v>
      </c>
      <c r="H508">
        <v>0.93</v>
      </c>
      <c r="I508" t="s">
        <v>2174</v>
      </c>
    </row>
    <row r="509" spans="1:9">
      <c r="A509" t="s">
        <v>2496</v>
      </c>
      <c r="B509" t="s">
        <v>1481</v>
      </c>
      <c r="E509">
        <v>68861.62</v>
      </c>
      <c r="I509" t="s">
        <v>2174</v>
      </c>
    </row>
    <row r="510" spans="1:9">
      <c r="A510" t="s">
        <v>2497</v>
      </c>
      <c r="B510" t="s">
        <v>1481</v>
      </c>
      <c r="E510">
        <v>68935.81</v>
      </c>
      <c r="I510" t="s">
        <v>2174</v>
      </c>
    </row>
    <row r="511" spans="1:9">
      <c r="A511" t="s">
        <v>2498</v>
      </c>
      <c r="B511" t="s">
        <v>1481</v>
      </c>
      <c r="E511">
        <v>68996.34</v>
      </c>
      <c r="I511" t="s">
        <v>2174</v>
      </c>
    </row>
    <row r="512" spans="1:9">
      <c r="A512" t="s">
        <v>2499</v>
      </c>
      <c r="B512" t="s">
        <v>1481</v>
      </c>
      <c r="E512">
        <v>69046.48</v>
      </c>
      <c r="I512" t="s">
        <v>2174</v>
      </c>
    </row>
    <row r="513" spans="1:9">
      <c r="A513" t="s">
        <v>2500</v>
      </c>
      <c r="B513" t="s">
        <v>1481</v>
      </c>
      <c r="E513">
        <v>69088.460000000006</v>
      </c>
      <c r="I513" t="s">
        <v>2174</v>
      </c>
    </row>
    <row r="514" spans="1:9">
      <c r="A514" t="s">
        <v>2501</v>
      </c>
      <c r="B514" t="s">
        <v>1481</v>
      </c>
      <c r="E514">
        <v>69123.86</v>
      </c>
      <c r="I514" t="s">
        <v>2174</v>
      </c>
    </row>
    <row r="515" spans="1:9">
      <c r="A515" t="s">
        <v>2502</v>
      </c>
      <c r="B515" t="s">
        <v>1481</v>
      </c>
      <c r="E515">
        <v>69154.06</v>
      </c>
      <c r="I515" t="s">
        <v>2174</v>
      </c>
    </row>
    <row r="516" spans="1:9">
      <c r="A516" t="s">
        <v>2503</v>
      </c>
      <c r="B516" t="s">
        <v>1481</v>
      </c>
      <c r="E516">
        <v>69180.09</v>
      </c>
      <c r="I516" t="s">
        <v>2174</v>
      </c>
    </row>
    <row r="517" spans="1:9">
      <c r="A517" t="s">
        <v>2504</v>
      </c>
      <c r="B517" t="s">
        <v>1481</v>
      </c>
      <c r="E517">
        <v>69202.62</v>
      </c>
      <c r="I517" t="s">
        <v>2174</v>
      </c>
    </row>
    <row r="518" spans="1:9">
      <c r="A518" t="s">
        <v>2505</v>
      </c>
      <c r="B518" t="s">
        <v>1481</v>
      </c>
      <c r="E518">
        <v>69222.259999999995</v>
      </c>
      <c r="I518" t="s">
        <v>2174</v>
      </c>
    </row>
    <row r="519" spans="1:9">
      <c r="A519" t="s">
        <v>2506</v>
      </c>
      <c r="B519" t="s">
        <v>1481</v>
      </c>
      <c r="E519">
        <v>69239.429999999993</v>
      </c>
      <c r="I519" t="s">
        <v>2174</v>
      </c>
    </row>
    <row r="520" spans="1:9">
      <c r="A520" t="s">
        <v>2507</v>
      </c>
      <c r="B520" t="s">
        <v>1481</v>
      </c>
      <c r="E520">
        <v>69254.710000000006</v>
      </c>
      <c r="I520" t="s">
        <v>2174</v>
      </c>
    </row>
    <row r="521" spans="1:9">
      <c r="A521" t="s">
        <v>2508</v>
      </c>
      <c r="B521" t="s">
        <v>1481</v>
      </c>
      <c r="E521">
        <v>69268.2</v>
      </c>
      <c r="I521" t="s">
        <v>2174</v>
      </c>
    </row>
    <row r="522" spans="1:9">
      <c r="A522" t="s">
        <v>2509</v>
      </c>
      <c r="B522" t="s">
        <v>1481</v>
      </c>
      <c r="E522">
        <v>69290.899999999994</v>
      </c>
      <c r="I522" t="s">
        <v>2174</v>
      </c>
    </row>
    <row r="523" spans="1:9">
      <c r="A523" t="s">
        <v>2510</v>
      </c>
      <c r="B523" t="s">
        <v>1481</v>
      </c>
      <c r="E523">
        <v>69300.47</v>
      </c>
      <c r="I523" t="s">
        <v>2174</v>
      </c>
    </row>
    <row r="524" spans="1:9">
      <c r="A524" t="s">
        <v>2511</v>
      </c>
      <c r="B524" t="s">
        <v>1481</v>
      </c>
      <c r="E524">
        <v>69309.19</v>
      </c>
      <c r="I524" t="s">
        <v>2174</v>
      </c>
    </row>
    <row r="525" spans="1:9">
      <c r="A525" t="s">
        <v>2512</v>
      </c>
      <c r="B525" t="s">
        <v>1481</v>
      </c>
      <c r="E525">
        <v>69317</v>
      </c>
      <c r="I525" t="s">
        <v>2174</v>
      </c>
    </row>
    <row r="526" spans="1:9">
      <c r="A526" t="s">
        <v>2513</v>
      </c>
      <c r="B526" t="s">
        <v>1481</v>
      </c>
      <c r="E526">
        <v>69324.14</v>
      </c>
      <c r="I526" t="s">
        <v>2174</v>
      </c>
    </row>
    <row r="527" spans="1:9">
      <c r="A527" t="s">
        <v>2514</v>
      </c>
      <c r="B527" t="s">
        <v>1481</v>
      </c>
      <c r="E527">
        <v>69330.63</v>
      </c>
      <c r="I527" t="s">
        <v>2174</v>
      </c>
    </row>
    <row r="528" spans="1:9">
      <c r="A528" t="s">
        <v>2515</v>
      </c>
      <c r="B528" t="s">
        <v>1481</v>
      </c>
      <c r="E528">
        <v>69336.53</v>
      </c>
      <c r="I528" t="s">
        <v>2174</v>
      </c>
    </row>
    <row r="529" spans="1:9">
      <c r="A529" t="s">
        <v>2516</v>
      </c>
      <c r="B529" t="s">
        <v>1481</v>
      </c>
      <c r="E529">
        <v>69341.929999999993</v>
      </c>
      <c r="I529" t="s">
        <v>2174</v>
      </c>
    </row>
    <row r="530" spans="1:9">
      <c r="A530" t="s">
        <v>2517</v>
      </c>
      <c r="B530" t="s">
        <v>1481</v>
      </c>
      <c r="E530">
        <v>69346.929999999993</v>
      </c>
      <c r="I530" t="s">
        <v>2174</v>
      </c>
    </row>
    <row r="531" spans="1:9">
      <c r="A531" t="s">
        <v>2518</v>
      </c>
      <c r="B531" t="s">
        <v>1481</v>
      </c>
      <c r="E531">
        <v>69351.55</v>
      </c>
      <c r="I531" t="s">
        <v>2174</v>
      </c>
    </row>
    <row r="532" spans="1:9">
      <c r="A532" t="s">
        <v>2519</v>
      </c>
      <c r="B532" t="s">
        <v>1481</v>
      </c>
      <c r="E532">
        <v>69355.7</v>
      </c>
      <c r="I532" t="s">
        <v>2174</v>
      </c>
    </row>
    <row r="533" spans="1:9">
      <c r="A533" t="s">
        <v>2520</v>
      </c>
      <c r="B533" t="s">
        <v>1481</v>
      </c>
      <c r="E533">
        <v>69359.55</v>
      </c>
      <c r="I533" t="s">
        <v>2174</v>
      </c>
    </row>
    <row r="534" spans="1:9">
      <c r="A534" t="s">
        <v>2521</v>
      </c>
      <c r="B534" t="s">
        <v>1481</v>
      </c>
      <c r="E534">
        <v>69363.22</v>
      </c>
      <c r="I534" t="s">
        <v>2174</v>
      </c>
    </row>
    <row r="535" spans="1:9">
      <c r="A535" t="s">
        <v>2522</v>
      </c>
      <c r="B535" t="s">
        <v>1481</v>
      </c>
      <c r="E535">
        <v>69366.570000000007</v>
      </c>
      <c r="I535" t="s">
        <v>2174</v>
      </c>
    </row>
    <row r="536" spans="1:9">
      <c r="A536" t="s">
        <v>2523</v>
      </c>
      <c r="B536" t="s">
        <v>1481</v>
      </c>
      <c r="E536">
        <v>69369.73</v>
      </c>
      <c r="I536" t="s">
        <v>2174</v>
      </c>
    </row>
    <row r="537" spans="1:9">
      <c r="A537" t="s">
        <v>2524</v>
      </c>
      <c r="B537" t="s">
        <v>1481</v>
      </c>
      <c r="E537">
        <v>69372.639999999999</v>
      </c>
      <c r="I537" t="s">
        <v>2174</v>
      </c>
    </row>
    <row r="538" spans="1:9">
      <c r="A538" t="s">
        <v>2525</v>
      </c>
      <c r="B538" t="s">
        <v>1481</v>
      </c>
      <c r="E538">
        <v>69375.38</v>
      </c>
      <c r="I538" t="s">
        <v>2174</v>
      </c>
    </row>
    <row r="539" spans="1:9">
      <c r="A539" t="s">
        <v>2526</v>
      </c>
      <c r="B539" t="s">
        <v>1481</v>
      </c>
      <c r="E539">
        <v>69377.84</v>
      </c>
      <c r="I539" t="s">
        <v>2174</v>
      </c>
    </row>
    <row r="540" spans="1:9">
      <c r="A540" t="s">
        <v>2527</v>
      </c>
      <c r="B540" t="s">
        <v>1481</v>
      </c>
      <c r="E540">
        <v>69380.2</v>
      </c>
      <c r="I540" t="s">
        <v>2174</v>
      </c>
    </row>
    <row r="541" spans="1:9">
      <c r="A541" t="s">
        <v>2528</v>
      </c>
      <c r="B541" t="s">
        <v>1481</v>
      </c>
      <c r="E541">
        <v>69382.289999999994</v>
      </c>
      <c r="I541" t="s">
        <v>2174</v>
      </c>
    </row>
    <row r="542" spans="1:9">
      <c r="A542" t="s">
        <v>2529</v>
      </c>
      <c r="B542" t="s">
        <v>1481</v>
      </c>
      <c r="E542">
        <v>69384.33</v>
      </c>
      <c r="I542" t="s">
        <v>2174</v>
      </c>
    </row>
    <row r="543" spans="1:9">
      <c r="A543" t="s">
        <v>2530</v>
      </c>
      <c r="B543" t="s">
        <v>1481</v>
      </c>
      <c r="E543">
        <v>69386.06</v>
      </c>
      <c r="I543" t="s">
        <v>2174</v>
      </c>
    </row>
    <row r="544" spans="1:9">
      <c r="A544" t="s">
        <v>2531</v>
      </c>
      <c r="B544" t="s">
        <v>1481</v>
      </c>
      <c r="E544">
        <v>69387.87</v>
      </c>
      <c r="I544" t="s">
        <v>2174</v>
      </c>
    </row>
    <row r="545" spans="1:9">
      <c r="A545" t="s">
        <v>2532</v>
      </c>
      <c r="B545" t="s">
        <v>1481</v>
      </c>
      <c r="E545">
        <v>69389.63</v>
      </c>
      <c r="I545" t="s">
        <v>2174</v>
      </c>
    </row>
    <row r="546" spans="1:9">
      <c r="A546" t="s">
        <v>2533</v>
      </c>
      <c r="B546" t="s">
        <v>1481</v>
      </c>
      <c r="E546">
        <v>69391.23</v>
      </c>
      <c r="I546" t="s">
        <v>2174</v>
      </c>
    </row>
    <row r="547" spans="1:9">
      <c r="A547" t="s">
        <v>2534</v>
      </c>
      <c r="B547" t="s">
        <v>1481</v>
      </c>
      <c r="E547">
        <v>69392.59</v>
      </c>
      <c r="I547" t="s">
        <v>2174</v>
      </c>
    </row>
    <row r="548" spans="1:9">
      <c r="A548" t="s">
        <v>2535</v>
      </c>
      <c r="B548" t="s">
        <v>202</v>
      </c>
      <c r="C548" s="2" t="s">
        <v>203</v>
      </c>
      <c r="E548">
        <v>69432.37</v>
      </c>
      <c r="I548" t="s">
        <v>2174</v>
      </c>
    </row>
    <row r="549" spans="1:9">
      <c r="B549" t="s">
        <v>1686</v>
      </c>
      <c r="C549" s="2" t="s">
        <v>720</v>
      </c>
      <c r="E549">
        <v>69560.88</v>
      </c>
      <c r="F549" t="s">
        <v>34</v>
      </c>
      <c r="H549">
        <v>1.07</v>
      </c>
      <c r="I549" t="s">
        <v>2174</v>
      </c>
    </row>
    <row r="550" spans="1:9">
      <c r="B550" t="s">
        <v>1686</v>
      </c>
      <c r="C550" s="2" t="s">
        <v>1702</v>
      </c>
      <c r="E550">
        <v>69629.850000000006</v>
      </c>
      <c r="F550" t="s">
        <v>34</v>
      </c>
      <c r="H550">
        <v>0.92400000000000004</v>
      </c>
      <c r="I550" t="s">
        <v>2174</v>
      </c>
    </row>
    <row r="551" spans="1:9">
      <c r="B551" t="s">
        <v>1414</v>
      </c>
      <c r="C551" s="2" t="s">
        <v>252</v>
      </c>
      <c r="E551">
        <v>69663.199999999997</v>
      </c>
      <c r="F551" t="s">
        <v>34</v>
      </c>
      <c r="I551" t="s">
        <v>2174</v>
      </c>
    </row>
    <row r="552" spans="1:9">
      <c r="B552" t="s">
        <v>1414</v>
      </c>
      <c r="C552" s="2" t="s">
        <v>1702</v>
      </c>
      <c r="E552">
        <v>69722.960000000006</v>
      </c>
      <c r="H552">
        <v>1.1000000000000001</v>
      </c>
      <c r="I552" t="s">
        <v>2174</v>
      </c>
    </row>
    <row r="553" spans="1:9">
      <c r="A553" t="s">
        <v>2536</v>
      </c>
      <c r="B553" t="s">
        <v>1481</v>
      </c>
      <c r="E553">
        <v>69820.2</v>
      </c>
      <c r="I553" t="s">
        <v>2174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8"/>
  <sheetViews>
    <sheetView workbookViewId="0"/>
  </sheetViews>
  <sheetFormatPr defaultRowHeight="15"/>
  <cols>
    <col min="1" max="1" width="19.5703125" bestFit="1" customWidth="1"/>
    <col min="5" max="5" width="10.85546875" bestFit="1" customWidth="1"/>
    <col min="7" max="7" width="16.42578125" bestFit="1" customWidth="1"/>
    <col min="8" max="8" width="7.42578125" bestFit="1" customWidth="1"/>
    <col min="9" max="9" width="40.1406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tr">
        <f>"3d6.4s2"</f>
        <v>3d6.4s2</v>
      </c>
      <c r="B2" t="str">
        <f>"a 5D"</f>
        <v>a 5D</v>
      </c>
      <c r="C2" t="str">
        <f>"4"</f>
        <v>4</v>
      </c>
      <c r="D2" t="str">
        <f>""</f>
        <v/>
      </c>
      <c r="E2" t="str">
        <f>"0.000"</f>
        <v>0.000</v>
      </c>
      <c r="F2" t="str">
        <f>""</f>
        <v/>
      </c>
      <c r="G2" t="str">
        <f>""</f>
        <v/>
      </c>
      <c r="H2" t="str">
        <f>"1.50020"</f>
        <v>1.50020</v>
      </c>
      <c r="I2" t="str">
        <f t="shared" ref="I2:I11" si="0">" 100                                                 "</f>
        <v xml:space="preserve"> 100                                                 </v>
      </c>
      <c r="J2" t="str">
        <f>"L11631"</f>
        <v>L11631</v>
      </c>
    </row>
    <row r="3" spans="1:10">
      <c r="A3" s="1" t="str">
        <f>"3d6.4s2"</f>
        <v>3d6.4s2</v>
      </c>
      <c r="B3" t="str">
        <f>"a 5D"</f>
        <v>a 5D</v>
      </c>
      <c r="C3" t="str">
        <f>"3"</f>
        <v>3</v>
      </c>
      <c r="D3" t="str">
        <f>""</f>
        <v/>
      </c>
      <c r="E3" t="str">
        <f>"415.933"</f>
        <v>415.933</v>
      </c>
      <c r="F3" t="str">
        <f>""</f>
        <v/>
      </c>
      <c r="G3" t="str">
        <f t="shared" ref="G3:G19" si="1">"0.001"</f>
        <v>0.001</v>
      </c>
      <c r="H3" t="str">
        <f>"1.50034"</f>
        <v>1.50034</v>
      </c>
      <c r="I3" t="str">
        <f t="shared" si="0"/>
        <v xml:space="preserve"> 100                                                 </v>
      </c>
      <c r="J3" t="str">
        <f>""</f>
        <v/>
      </c>
    </row>
    <row r="4" spans="1:10">
      <c r="A4" s="1" t="str">
        <f>"3d6.4s2"</f>
        <v>3d6.4s2</v>
      </c>
      <c r="B4" t="str">
        <f>"a 5D"</f>
        <v>a 5D</v>
      </c>
      <c r="C4" t="str">
        <f>"2"</f>
        <v>2</v>
      </c>
      <c r="D4" t="str">
        <f>""</f>
        <v/>
      </c>
      <c r="E4" t="str">
        <f>"704.007"</f>
        <v>704.007</v>
      </c>
      <c r="F4" t="str">
        <f>""</f>
        <v/>
      </c>
      <c r="G4" t="str">
        <f t="shared" si="1"/>
        <v>0.001</v>
      </c>
      <c r="H4" t="str">
        <f>"1.50041"</f>
        <v>1.50041</v>
      </c>
      <c r="I4" t="str">
        <f t="shared" si="0"/>
        <v xml:space="preserve"> 100                                                 </v>
      </c>
      <c r="J4" t="str">
        <f>""</f>
        <v/>
      </c>
    </row>
    <row r="5" spans="1:10">
      <c r="A5" s="1" t="str">
        <f>"3d6.4s2"</f>
        <v>3d6.4s2</v>
      </c>
      <c r="B5" t="str">
        <f>"a 5D"</f>
        <v>a 5D</v>
      </c>
      <c r="C5" t="str">
        <f>"1"</f>
        <v>1</v>
      </c>
      <c r="D5" t="str">
        <f>""</f>
        <v/>
      </c>
      <c r="E5" t="str">
        <f>"888.132"</f>
        <v>888.132</v>
      </c>
      <c r="F5" t="str">
        <f>""</f>
        <v/>
      </c>
      <c r="G5" t="str">
        <f t="shared" si="1"/>
        <v>0.001</v>
      </c>
      <c r="H5" t="str">
        <f>"1.50022"</f>
        <v>1.50022</v>
      </c>
      <c r="I5" t="str">
        <f t="shared" si="0"/>
        <v xml:space="preserve"> 100                                                 </v>
      </c>
      <c r="J5" t="str">
        <f>""</f>
        <v/>
      </c>
    </row>
    <row r="6" spans="1:10">
      <c r="A6" s="1" t="str">
        <f>"3d6.4s2"</f>
        <v>3d6.4s2</v>
      </c>
      <c r="B6" t="str">
        <f>"a 5D"</f>
        <v>a 5D</v>
      </c>
      <c r="C6" t="str">
        <f>"0"</f>
        <v>0</v>
      </c>
      <c r="D6" t="str">
        <f>""</f>
        <v/>
      </c>
      <c r="E6" t="str">
        <f>"978.074"</f>
        <v>978.074</v>
      </c>
      <c r="F6" t="str">
        <f>""</f>
        <v/>
      </c>
      <c r="G6" t="str">
        <f t="shared" si="1"/>
        <v>0.001</v>
      </c>
      <c r="H6" t="str">
        <f>""</f>
        <v/>
      </c>
      <c r="I6" t="str">
        <f t="shared" si="0"/>
        <v xml:space="preserve"> 100                                                 </v>
      </c>
      <c r="J6" t="str">
        <f>""</f>
        <v/>
      </c>
    </row>
    <row r="7" spans="1:10">
      <c r="A7" s="1" t="str">
        <f t="shared" ref="A7:A14" si="2">"3d7.(4F).4s"</f>
        <v>3d7.(4F).4s</v>
      </c>
      <c r="B7" t="str">
        <f>"a 5F"</f>
        <v>a 5F</v>
      </c>
      <c r="C7" t="str">
        <f>"5"</f>
        <v>5</v>
      </c>
      <c r="D7" t="str">
        <f>""</f>
        <v/>
      </c>
      <c r="E7" t="str">
        <f>"6928.268"</f>
        <v>6928.268</v>
      </c>
      <c r="F7" t="str">
        <f>""</f>
        <v/>
      </c>
      <c r="G7" t="str">
        <f t="shared" si="1"/>
        <v>0.001</v>
      </c>
      <c r="H7" t="str">
        <f>"1.40021"</f>
        <v>1.40021</v>
      </c>
      <c r="I7" t="str">
        <f t="shared" si="0"/>
        <v xml:space="preserve"> 100                                                 </v>
      </c>
      <c r="J7" t="str">
        <f>""</f>
        <v/>
      </c>
    </row>
    <row r="8" spans="1:10">
      <c r="A8" s="1" t="str">
        <f t="shared" si="2"/>
        <v>3d7.(4F).4s</v>
      </c>
      <c r="B8" t="str">
        <f>"a 5F"</f>
        <v>a 5F</v>
      </c>
      <c r="C8" t="str">
        <f>"4"</f>
        <v>4</v>
      </c>
      <c r="D8" t="str">
        <f>""</f>
        <v/>
      </c>
      <c r="E8" t="str">
        <f>"7376.764"</f>
        <v>7376.764</v>
      </c>
      <c r="F8" t="str">
        <f>""</f>
        <v/>
      </c>
      <c r="G8" t="str">
        <f t="shared" si="1"/>
        <v>0.001</v>
      </c>
      <c r="H8" t="str">
        <f>"1.35004"</f>
        <v>1.35004</v>
      </c>
      <c r="I8" t="str">
        <f t="shared" si="0"/>
        <v xml:space="preserve"> 100                                                 </v>
      </c>
      <c r="J8" t="str">
        <f>""</f>
        <v/>
      </c>
    </row>
    <row r="9" spans="1:10">
      <c r="A9" s="1" t="str">
        <f t="shared" si="2"/>
        <v>3d7.(4F).4s</v>
      </c>
      <c r="B9" t="str">
        <f>"a 5F"</f>
        <v>a 5F</v>
      </c>
      <c r="C9" t="str">
        <f>"3"</f>
        <v>3</v>
      </c>
      <c r="D9" t="str">
        <f>""</f>
        <v/>
      </c>
      <c r="E9" t="str">
        <f>"7728.060"</f>
        <v>7728.060</v>
      </c>
      <c r="F9" t="str">
        <f>""</f>
        <v/>
      </c>
      <c r="G9" t="str">
        <f t="shared" si="1"/>
        <v>0.001</v>
      </c>
      <c r="H9" t="str">
        <f>"1.24988"</f>
        <v>1.24988</v>
      </c>
      <c r="I9" t="str">
        <f t="shared" si="0"/>
        <v xml:space="preserve"> 100                                                 </v>
      </c>
      <c r="J9" t="str">
        <f>""</f>
        <v/>
      </c>
    </row>
    <row r="10" spans="1:10">
      <c r="A10" s="1" t="str">
        <f t="shared" si="2"/>
        <v>3d7.(4F).4s</v>
      </c>
      <c r="B10" t="str">
        <f>"a 5F"</f>
        <v>a 5F</v>
      </c>
      <c r="C10" t="str">
        <f>"2"</f>
        <v>2</v>
      </c>
      <c r="D10" t="str">
        <f>""</f>
        <v/>
      </c>
      <c r="E10" t="str">
        <f>"7985.785"</f>
        <v>7985.785</v>
      </c>
      <c r="F10" t="str">
        <f>""</f>
        <v/>
      </c>
      <c r="G10" t="str">
        <f t="shared" si="1"/>
        <v>0.001</v>
      </c>
      <c r="H10" t="str">
        <f>"0.99953"</f>
        <v>0.99953</v>
      </c>
      <c r="I10" t="str">
        <f t="shared" si="0"/>
        <v xml:space="preserve"> 100                                                 </v>
      </c>
      <c r="J10" t="str">
        <f>""</f>
        <v/>
      </c>
    </row>
    <row r="11" spans="1:10">
      <c r="A11" s="1" t="str">
        <f t="shared" si="2"/>
        <v>3d7.(4F).4s</v>
      </c>
      <c r="B11" t="str">
        <f>"a 5F"</f>
        <v>a 5F</v>
      </c>
      <c r="C11" t="str">
        <f>"1"</f>
        <v>1</v>
      </c>
      <c r="D11" t="str">
        <f>""</f>
        <v/>
      </c>
      <c r="E11" t="str">
        <f>"8154.714"</f>
        <v>8154.714</v>
      </c>
      <c r="F11" t="str">
        <f>""</f>
        <v/>
      </c>
      <c r="G11" t="str">
        <f t="shared" si="1"/>
        <v>0.001</v>
      </c>
      <c r="H11" t="str">
        <f>"-0.014"</f>
        <v>-0.014</v>
      </c>
      <c r="I11" t="str">
        <f t="shared" si="0"/>
        <v xml:space="preserve"> 100                                                 </v>
      </c>
      <c r="J11" t="str">
        <f>""</f>
        <v/>
      </c>
    </row>
    <row r="12" spans="1:10">
      <c r="A12" s="1" t="str">
        <f t="shared" si="2"/>
        <v>3d7.(4F).4s</v>
      </c>
      <c r="B12" t="str">
        <f>"a 3F"</f>
        <v>a 3F</v>
      </c>
      <c r="C12" t="str">
        <f>"4"</f>
        <v>4</v>
      </c>
      <c r="D12" t="str">
        <f>""</f>
        <v/>
      </c>
      <c r="E12" t="str">
        <f>"11976.239"</f>
        <v>11976.239</v>
      </c>
      <c r="F12" t="str">
        <f>""</f>
        <v/>
      </c>
      <c r="G12" t="str">
        <f t="shared" si="1"/>
        <v>0.001</v>
      </c>
      <c r="H12" t="str">
        <f>"1.254"</f>
        <v>1.254</v>
      </c>
      <c r="I12" t="str">
        <f>"  98             :     1  3d6.4s2               3F2  "</f>
        <v xml:space="preserve">  98             :     1  3d6.4s2               3F2  </v>
      </c>
      <c r="J12" t="str">
        <f>""</f>
        <v/>
      </c>
    </row>
    <row r="13" spans="1:10">
      <c r="A13" s="1" t="str">
        <f t="shared" si="2"/>
        <v>3d7.(4F).4s</v>
      </c>
      <c r="B13" t="str">
        <f>"a 3F"</f>
        <v>a 3F</v>
      </c>
      <c r="C13" t="str">
        <f>"3"</f>
        <v>3</v>
      </c>
      <c r="D13" t="str">
        <f>""</f>
        <v/>
      </c>
      <c r="E13" t="str">
        <f>"12560.934"</f>
        <v>12560.934</v>
      </c>
      <c r="F13" t="str">
        <f>""</f>
        <v/>
      </c>
      <c r="G13" t="str">
        <f t="shared" si="1"/>
        <v>0.001</v>
      </c>
      <c r="H13" t="str">
        <f>"1.086"</f>
        <v>1.086</v>
      </c>
      <c r="I13" t="str">
        <f>"  98             :     1  3d6.4s2               3F2  "</f>
        <v xml:space="preserve">  98             :     1  3d6.4s2               3F2  </v>
      </c>
      <c r="J13" t="str">
        <f>""</f>
        <v/>
      </c>
    </row>
    <row r="14" spans="1:10">
      <c r="A14" s="1" t="str">
        <f t="shared" si="2"/>
        <v>3d7.(4F).4s</v>
      </c>
      <c r="B14" t="str">
        <f>"a 3F"</f>
        <v>a 3F</v>
      </c>
      <c r="C14" t="str">
        <f>"2"</f>
        <v>2</v>
      </c>
      <c r="D14" t="str">
        <f>""</f>
        <v/>
      </c>
      <c r="E14" t="str">
        <f>"12968.554"</f>
        <v>12968.554</v>
      </c>
      <c r="F14" t="str">
        <f>""</f>
        <v/>
      </c>
      <c r="G14" t="str">
        <f t="shared" si="1"/>
        <v>0.001</v>
      </c>
      <c r="H14" t="str">
        <f>"0.670"</f>
        <v>0.670</v>
      </c>
      <c r="I14" t="str">
        <f>"  98             :     1  3d6.4s2               3F2  "</f>
        <v xml:space="preserve">  98             :     1  3d6.4s2               3F2  </v>
      </c>
      <c r="J14" t="str">
        <f>""</f>
        <v/>
      </c>
    </row>
    <row r="15" spans="1:10">
      <c r="A15" s="1" t="str">
        <f>"3d7.(4P).4s"</f>
        <v>3d7.(4P).4s</v>
      </c>
      <c r="B15" t="str">
        <f>"a 5P"</f>
        <v>a 5P</v>
      </c>
      <c r="C15" t="str">
        <f>"3"</f>
        <v>3</v>
      </c>
      <c r="D15" t="str">
        <f>""</f>
        <v/>
      </c>
      <c r="E15" t="str">
        <f>"17550.181"</f>
        <v>17550.181</v>
      </c>
      <c r="F15" t="str">
        <f>""</f>
        <v/>
      </c>
      <c r="G15" t="str">
        <f t="shared" si="1"/>
        <v>0.001</v>
      </c>
      <c r="H15" t="str">
        <f>"1.666"</f>
        <v>1.666</v>
      </c>
      <c r="I15" t="str">
        <f>"  99                                                 "</f>
        <v xml:space="preserve">  99                                                 </v>
      </c>
      <c r="J15" t="str">
        <f>""</f>
        <v/>
      </c>
    </row>
    <row r="16" spans="1:10">
      <c r="A16" s="1" t="str">
        <f>"3d7.(4P).4s"</f>
        <v>3d7.(4P).4s</v>
      </c>
      <c r="B16" t="str">
        <f>"a 5P"</f>
        <v>a 5P</v>
      </c>
      <c r="C16" t="str">
        <f>"2"</f>
        <v>2</v>
      </c>
      <c r="D16" t="str">
        <f>""</f>
        <v/>
      </c>
      <c r="E16" t="str">
        <f>"17726.988"</f>
        <v>17726.988</v>
      </c>
      <c r="F16" t="str">
        <f>""</f>
        <v/>
      </c>
      <c r="G16" t="str">
        <f t="shared" si="1"/>
        <v>0.001</v>
      </c>
      <c r="H16" t="str">
        <f>"1.820"</f>
        <v>1.820</v>
      </c>
      <c r="I16" t="str">
        <f>"  99                                                 "</f>
        <v xml:space="preserve">  99                                                 </v>
      </c>
      <c r="J16" t="str">
        <f>""</f>
        <v/>
      </c>
    </row>
    <row r="17" spans="1:10">
      <c r="A17" s="1" t="str">
        <f>"3d7.(4P).4s"</f>
        <v>3d7.(4P).4s</v>
      </c>
      <c r="B17" t="str">
        <f>"a 5P"</f>
        <v>a 5P</v>
      </c>
      <c r="C17" t="str">
        <f>"1"</f>
        <v>1</v>
      </c>
      <c r="D17" t="str">
        <f>""</f>
        <v/>
      </c>
      <c r="E17" t="str">
        <f>"17927.382"</f>
        <v>17927.382</v>
      </c>
      <c r="F17" t="str">
        <f>""</f>
        <v/>
      </c>
      <c r="G17" t="str">
        <f t="shared" si="1"/>
        <v>0.001</v>
      </c>
      <c r="H17" t="str">
        <f>"2.499"</f>
        <v>2.499</v>
      </c>
      <c r="I17" t="str">
        <f>"  99                                                 "</f>
        <v xml:space="preserve">  99                                                 </v>
      </c>
      <c r="J17" t="str">
        <f>""</f>
        <v/>
      </c>
    </row>
    <row r="18" spans="1:10">
      <c r="A18" s="1" t="str">
        <f>"3d6.4s2"</f>
        <v>3d6.4s2</v>
      </c>
      <c r="B18" t="str">
        <f>"a 3P2"</f>
        <v>a 3P2</v>
      </c>
      <c r="C18" t="str">
        <f>"2"</f>
        <v>2</v>
      </c>
      <c r="D18" t="str">
        <f>""</f>
        <v/>
      </c>
      <c r="E18" t="str">
        <f>"18378.186"</f>
        <v>18378.186</v>
      </c>
      <c r="F18" t="str">
        <f>""</f>
        <v/>
      </c>
      <c r="G18" t="str">
        <f t="shared" si="1"/>
        <v>0.001</v>
      </c>
      <c r="H18" t="str">
        <f>"1.506"</f>
        <v>1.506</v>
      </c>
      <c r="I18" t="str">
        <f>"  55             :    32  3d6.4s2               3P1  "</f>
        <v xml:space="preserve">  55             :    32  3d6.4s2               3P1  </v>
      </c>
      <c r="J18" t="str">
        <f>""</f>
        <v/>
      </c>
    </row>
    <row r="19" spans="1:10">
      <c r="A19" s="1" t="str">
        <f>"3d6.4s2"</f>
        <v>3d6.4s2</v>
      </c>
      <c r="B19" t="str">
        <f>"a 3P2"</f>
        <v>a 3P2</v>
      </c>
      <c r="C19" t="str">
        <f>"1"</f>
        <v>1</v>
      </c>
      <c r="D19" t="str">
        <f>""</f>
        <v/>
      </c>
      <c r="E19" t="str">
        <f>"19552.478"</f>
        <v>19552.478</v>
      </c>
      <c r="F19" t="str">
        <f>""</f>
        <v/>
      </c>
      <c r="G19" t="str">
        <f t="shared" si="1"/>
        <v>0.001</v>
      </c>
      <c r="H19" t="str">
        <f>"1.500"</f>
        <v>1.500</v>
      </c>
      <c r="I19" t="str">
        <f>"  55             :    32  3d6.4s2               3P1  "</f>
        <v xml:space="preserve">  55             :    32  3d6.4s2               3P1  </v>
      </c>
      <c r="J19" t="str">
        <f>""</f>
        <v/>
      </c>
    </row>
    <row r="20" spans="1:10">
      <c r="A20" s="1" t="str">
        <f>"3d6.4s2"</f>
        <v>3d6.4s2</v>
      </c>
      <c r="B20" t="str">
        <f>"a 3P2"</f>
        <v>a 3P2</v>
      </c>
      <c r="C20" t="str">
        <f>"0"</f>
        <v>0</v>
      </c>
      <c r="D20" t="str">
        <f>""</f>
        <v/>
      </c>
      <c r="E20" t="str">
        <f>"20037.816"</f>
        <v>20037.816</v>
      </c>
      <c r="F20" t="str">
        <f>""</f>
        <v/>
      </c>
      <c r="G20" t="str">
        <f>"0.002"</f>
        <v>0.002</v>
      </c>
      <c r="H20" t="str">
        <f>""</f>
        <v/>
      </c>
      <c r="I20" t="str">
        <f>"  55             :    32  3d6.4s2               3P1  "</f>
        <v xml:space="preserve">  55             :    32  3d6.4s2               3P1  </v>
      </c>
      <c r="J20" t="str">
        <f>""</f>
        <v/>
      </c>
    </row>
    <row r="21" spans="1:10">
      <c r="A21" s="1" t="str">
        <f>"3d6.(5D).4s.4p.(3P*)"</f>
        <v>3d6.(5D).4s.4p.(3P*)</v>
      </c>
      <c r="B21" t="str">
        <f>"z 7D*"</f>
        <v>z 7D*</v>
      </c>
      <c r="C21" t="str">
        <f>"5"</f>
        <v>5</v>
      </c>
      <c r="D21" t="str">
        <f>""</f>
        <v/>
      </c>
      <c r="E21" t="str">
        <f>"19350.891"</f>
        <v>19350.891</v>
      </c>
      <c r="F21" t="str">
        <f>""</f>
        <v/>
      </c>
      <c r="G21" t="str">
        <f t="shared" ref="G21:G40" si="3">"0.001"</f>
        <v>0.001</v>
      </c>
      <c r="H21" t="str">
        <f>"1.597"</f>
        <v>1.597</v>
      </c>
      <c r="I21" t="str">
        <f>"  99                                                 "</f>
        <v xml:space="preserve">  99                                                 </v>
      </c>
      <c r="J21" t="str">
        <f>""</f>
        <v/>
      </c>
    </row>
    <row r="22" spans="1:10">
      <c r="A22" s="1" t="str">
        <f>"3d6.(5D).4s.4p.(3P*)"</f>
        <v>3d6.(5D).4s.4p.(3P*)</v>
      </c>
      <c r="B22" t="str">
        <f>"z 7D*"</f>
        <v>z 7D*</v>
      </c>
      <c r="C22" t="str">
        <f>"4"</f>
        <v>4</v>
      </c>
      <c r="D22" t="str">
        <f>""</f>
        <v/>
      </c>
      <c r="E22" t="str">
        <f>"19562.439"</f>
        <v>19562.439</v>
      </c>
      <c r="F22" t="str">
        <f>""</f>
        <v/>
      </c>
      <c r="G22" t="str">
        <f t="shared" si="3"/>
        <v>0.001</v>
      </c>
      <c r="H22" t="str">
        <f>"1.642"</f>
        <v>1.642</v>
      </c>
      <c r="I22" t="str">
        <f>"  98                                                 "</f>
        <v xml:space="preserve">  98                                                 </v>
      </c>
      <c r="J22" t="str">
        <f>""</f>
        <v/>
      </c>
    </row>
    <row r="23" spans="1:10">
      <c r="A23" s="1" t="str">
        <f>"3d6.(5D).4s.4p.(3P*)"</f>
        <v>3d6.(5D).4s.4p.(3P*)</v>
      </c>
      <c r="B23" t="str">
        <f>"z 7D*"</f>
        <v>z 7D*</v>
      </c>
      <c r="C23" t="str">
        <f>"3"</f>
        <v>3</v>
      </c>
      <c r="D23" t="str">
        <f>""</f>
        <v/>
      </c>
      <c r="E23" t="str">
        <f>"19757.032"</f>
        <v>19757.032</v>
      </c>
      <c r="F23" t="str">
        <f>""</f>
        <v/>
      </c>
      <c r="G23" t="str">
        <f t="shared" si="3"/>
        <v>0.001</v>
      </c>
      <c r="H23" t="str">
        <f>"1.746"</f>
        <v>1.746</v>
      </c>
      <c r="I23" t="str">
        <f>"  99                                                 "</f>
        <v xml:space="preserve">  99                                                 </v>
      </c>
      <c r="J23" t="str">
        <f>""</f>
        <v/>
      </c>
    </row>
    <row r="24" spans="1:10">
      <c r="A24" s="1" t="str">
        <f>"3d6.(5D).4s.4p.(3P*)"</f>
        <v>3d6.(5D).4s.4p.(3P*)</v>
      </c>
      <c r="B24" t="str">
        <f>"z 7D*"</f>
        <v>z 7D*</v>
      </c>
      <c r="C24" t="str">
        <f>"2"</f>
        <v>2</v>
      </c>
      <c r="D24" t="str">
        <f>""</f>
        <v/>
      </c>
      <c r="E24" t="str">
        <f>"19912.495"</f>
        <v>19912.495</v>
      </c>
      <c r="F24" t="str">
        <f>""</f>
        <v/>
      </c>
      <c r="G24" t="str">
        <f t="shared" si="3"/>
        <v>0.001</v>
      </c>
      <c r="H24" t="str">
        <f>"2.008"</f>
        <v>2.008</v>
      </c>
      <c r="I24" t="str">
        <f>"  99                                                 "</f>
        <v xml:space="preserve">  99                                                 </v>
      </c>
      <c r="J24" t="str">
        <f>""</f>
        <v/>
      </c>
    </row>
    <row r="25" spans="1:10">
      <c r="A25" s="1" t="str">
        <f>"3d6.(5D).4s.4p.(3P*)"</f>
        <v>3d6.(5D).4s.4p.(3P*)</v>
      </c>
      <c r="B25" t="str">
        <f>"z 7D*"</f>
        <v>z 7D*</v>
      </c>
      <c r="C25" t="str">
        <f>"1"</f>
        <v>1</v>
      </c>
      <c r="D25" t="str">
        <f>""</f>
        <v/>
      </c>
      <c r="E25" t="str">
        <f>"20019.635"</f>
        <v>20019.635</v>
      </c>
      <c r="F25" t="str">
        <f>""</f>
        <v/>
      </c>
      <c r="G25" t="str">
        <f t="shared" si="3"/>
        <v>0.001</v>
      </c>
      <c r="H25" t="str">
        <f>"2.999"</f>
        <v>2.999</v>
      </c>
      <c r="I25" t="str">
        <f>" 100                                                 "</f>
        <v xml:space="preserve"> 100                                                 </v>
      </c>
      <c r="J25" t="str">
        <f>""</f>
        <v/>
      </c>
    </row>
    <row r="26" spans="1:10">
      <c r="A26" s="1" t="str">
        <f t="shared" ref="A26:A31" si="4">"3d6.4s2"</f>
        <v>3d6.4s2</v>
      </c>
      <c r="B26" t="str">
        <f>"a 3H"</f>
        <v>a 3H</v>
      </c>
      <c r="C26" t="str">
        <f>"6"</f>
        <v>6</v>
      </c>
      <c r="D26" t="str">
        <f>""</f>
        <v/>
      </c>
      <c r="E26" t="str">
        <f>"19390.168"</f>
        <v>19390.168</v>
      </c>
      <c r="F26" t="str">
        <f>""</f>
        <v/>
      </c>
      <c r="G26" t="str">
        <f t="shared" si="3"/>
        <v>0.001</v>
      </c>
      <c r="H26" t="str">
        <f>"1.163"</f>
        <v>1.163</v>
      </c>
      <c r="I26" t="str">
        <f>" 100                                                 "</f>
        <v xml:space="preserve"> 100                                                 </v>
      </c>
      <c r="J26" t="str">
        <f>""</f>
        <v/>
      </c>
    </row>
    <row r="27" spans="1:10">
      <c r="A27" s="1" t="str">
        <f t="shared" si="4"/>
        <v>3d6.4s2</v>
      </c>
      <c r="B27" t="str">
        <f>"a 3H"</f>
        <v>a 3H</v>
      </c>
      <c r="C27" t="str">
        <f>"5"</f>
        <v>5</v>
      </c>
      <c r="D27" t="str">
        <f>""</f>
        <v/>
      </c>
      <c r="E27" t="str">
        <f>"19621.006"</f>
        <v>19621.006</v>
      </c>
      <c r="F27" t="str">
        <f>""</f>
        <v/>
      </c>
      <c r="G27" t="str">
        <f t="shared" si="3"/>
        <v>0.001</v>
      </c>
      <c r="H27" t="str">
        <f>"1.038"</f>
        <v>1.038</v>
      </c>
      <c r="I27" t="str">
        <f>" 100                                                 "</f>
        <v xml:space="preserve"> 100                                                 </v>
      </c>
      <c r="J27" t="str">
        <f>""</f>
        <v/>
      </c>
    </row>
    <row r="28" spans="1:10">
      <c r="A28" s="1" t="str">
        <f t="shared" si="4"/>
        <v>3d6.4s2</v>
      </c>
      <c r="B28" t="str">
        <f>"a 3H"</f>
        <v>a 3H</v>
      </c>
      <c r="C28" t="str">
        <f>"4"</f>
        <v>4</v>
      </c>
      <c r="D28" t="str">
        <f>""</f>
        <v/>
      </c>
      <c r="E28" t="str">
        <f>"19788.251"</f>
        <v>19788.251</v>
      </c>
      <c r="F28" t="str">
        <f>""</f>
        <v/>
      </c>
      <c r="G28" t="str">
        <f t="shared" si="3"/>
        <v>0.001</v>
      </c>
      <c r="H28" t="str">
        <f>"0.811"</f>
        <v>0.811</v>
      </c>
      <c r="I28" t="str">
        <f>" 100                                                 "</f>
        <v xml:space="preserve"> 100                                                 </v>
      </c>
      <c r="J28" t="str">
        <f>""</f>
        <v/>
      </c>
    </row>
    <row r="29" spans="1:10">
      <c r="A29" s="1" t="str">
        <f t="shared" si="4"/>
        <v>3d6.4s2</v>
      </c>
      <c r="B29" t="str">
        <f>"b 3F2"</f>
        <v>b 3F2</v>
      </c>
      <c r="C29" t="str">
        <f>"4"</f>
        <v>4</v>
      </c>
      <c r="D29" t="str">
        <f>""</f>
        <v/>
      </c>
      <c r="E29" t="str">
        <f>"20641.110"</f>
        <v>20641.110</v>
      </c>
      <c r="F29" t="str">
        <f>""</f>
        <v/>
      </c>
      <c r="G29" t="str">
        <f t="shared" si="3"/>
        <v>0.001</v>
      </c>
      <c r="H29" t="str">
        <f>"1.235"</f>
        <v>1.235</v>
      </c>
      <c r="I29" t="str">
        <f>"  71             :    21  3d6.4s2               3F1  "</f>
        <v xml:space="preserve">  71             :    21  3d6.4s2               3F1  </v>
      </c>
      <c r="J29" t="str">
        <f>""</f>
        <v/>
      </c>
    </row>
    <row r="30" spans="1:10">
      <c r="A30" s="1" t="str">
        <f t="shared" si="4"/>
        <v>3d6.4s2</v>
      </c>
      <c r="B30" t="str">
        <f>"b 3F2"</f>
        <v>b 3F2</v>
      </c>
      <c r="C30" t="str">
        <f>"3"</f>
        <v>3</v>
      </c>
      <c r="D30" t="str">
        <f>""</f>
        <v/>
      </c>
      <c r="E30" t="str">
        <f>"20874.482"</f>
        <v>20874.482</v>
      </c>
      <c r="F30" t="str">
        <f>""</f>
        <v/>
      </c>
      <c r="G30" t="str">
        <f t="shared" si="3"/>
        <v>0.001</v>
      </c>
      <c r="H30" t="str">
        <f>"1.073"</f>
        <v>1.073</v>
      </c>
      <c r="I30" t="str">
        <f>"  71             :    21  3d6.4s2               3F1  "</f>
        <v xml:space="preserve">  71             :    21  3d6.4s2               3F1  </v>
      </c>
      <c r="J30" t="str">
        <f>""</f>
        <v/>
      </c>
    </row>
    <row r="31" spans="1:10">
      <c r="A31" s="1" t="str">
        <f t="shared" si="4"/>
        <v>3d6.4s2</v>
      </c>
      <c r="B31" t="str">
        <f>"b 3F2"</f>
        <v>b 3F2</v>
      </c>
      <c r="C31" t="str">
        <f>"2"</f>
        <v>2</v>
      </c>
      <c r="D31" t="str">
        <f>""</f>
        <v/>
      </c>
      <c r="E31" t="str">
        <f>"21038.987"</f>
        <v>21038.987</v>
      </c>
      <c r="F31" t="str">
        <f>""</f>
        <v/>
      </c>
      <c r="G31" t="str">
        <f t="shared" si="3"/>
        <v>0.001</v>
      </c>
      <c r="H31" t="str">
        <f>"0.663"</f>
        <v>0.663</v>
      </c>
      <c r="I31" t="str">
        <f>"  71             :    21  3d6.4s2               3F1  "</f>
        <v xml:space="preserve">  71             :    21  3d6.4s2               3F1  </v>
      </c>
      <c r="J31" t="str">
        <f>""</f>
        <v/>
      </c>
    </row>
    <row r="32" spans="1:10">
      <c r="A32" s="1" t="str">
        <f>"3d7.(2G).4s"</f>
        <v>3d7.(2G).4s</v>
      </c>
      <c r="B32" t="str">
        <f>"a 3G"</f>
        <v>a 3G</v>
      </c>
      <c r="C32" t="str">
        <f>"5"</f>
        <v>5</v>
      </c>
      <c r="D32" t="str">
        <f>""</f>
        <v/>
      </c>
      <c r="E32" t="str">
        <f>"21715.732"</f>
        <v>21715.732</v>
      </c>
      <c r="F32" t="str">
        <f>""</f>
        <v/>
      </c>
      <c r="G32" t="str">
        <f t="shared" si="3"/>
        <v>0.001</v>
      </c>
      <c r="H32" t="str">
        <f>"1.197"</f>
        <v>1.197</v>
      </c>
      <c r="I32" t="str">
        <f>"  88             :    10  3d6.4s2               3G   "</f>
        <v xml:space="preserve">  88             :    10  3d6.4s2               3G   </v>
      </c>
      <c r="J32" t="str">
        <f>""</f>
        <v/>
      </c>
    </row>
    <row r="33" spans="1:10">
      <c r="A33" s="1" t="str">
        <f>"3d7.(2G).4s"</f>
        <v>3d7.(2G).4s</v>
      </c>
      <c r="B33" t="str">
        <f>"a 3G"</f>
        <v>a 3G</v>
      </c>
      <c r="C33" t="str">
        <f>"4"</f>
        <v>4</v>
      </c>
      <c r="D33" t="str">
        <f>""</f>
        <v/>
      </c>
      <c r="E33" t="str">
        <f>"21999.130"</f>
        <v>21999.130</v>
      </c>
      <c r="F33" t="str">
        <f>""</f>
        <v/>
      </c>
      <c r="G33" t="str">
        <f t="shared" si="3"/>
        <v>0.001</v>
      </c>
      <c r="H33" t="str">
        <f>"1.051"</f>
        <v>1.051</v>
      </c>
      <c r="I33" t="str">
        <f>"  88             :    10  3d6.4s2               3G   "</f>
        <v xml:space="preserve">  88             :    10  3d6.4s2               3G   </v>
      </c>
      <c r="J33" t="str">
        <f>""</f>
        <v/>
      </c>
    </row>
    <row r="34" spans="1:10">
      <c r="A34" s="1" t="str">
        <f>"3d7.(2G).4s"</f>
        <v>3d7.(2G).4s</v>
      </c>
      <c r="B34" t="str">
        <f>"a 3G"</f>
        <v>a 3G</v>
      </c>
      <c r="C34" t="str">
        <f>"3"</f>
        <v>3</v>
      </c>
      <c r="D34" t="str">
        <f>""</f>
        <v/>
      </c>
      <c r="E34" t="str">
        <f>"22249.429"</f>
        <v>22249.429</v>
      </c>
      <c r="F34" t="str">
        <f>""</f>
        <v/>
      </c>
      <c r="G34" t="str">
        <f t="shared" si="3"/>
        <v>0.001</v>
      </c>
      <c r="H34" t="str">
        <f>"0.756"</f>
        <v>0.756</v>
      </c>
      <c r="I34" t="str">
        <f>"  88             :    10  3d6.4s2               3G   "</f>
        <v xml:space="preserve">  88             :    10  3d6.4s2               3G   </v>
      </c>
      <c r="J34" t="str">
        <f>""</f>
        <v/>
      </c>
    </row>
    <row r="35" spans="1:10">
      <c r="A35" s="1" t="str">
        <f t="shared" ref="A35:A41" si="5">"3d6.(5D).4s.4p.(3P*)"</f>
        <v>3d6.(5D).4s.4p.(3P*)</v>
      </c>
      <c r="B35" t="str">
        <f t="shared" ref="B35:B41" si="6">"z 7F*"</f>
        <v>z 7F*</v>
      </c>
      <c r="C35" t="str">
        <f>"6"</f>
        <v>6</v>
      </c>
      <c r="D35" t="str">
        <f>""</f>
        <v/>
      </c>
      <c r="E35" t="str">
        <f>"22650.416"</f>
        <v>22650.416</v>
      </c>
      <c r="F35" t="str">
        <f>""</f>
        <v/>
      </c>
      <c r="G35" t="str">
        <f t="shared" si="3"/>
        <v>0.001</v>
      </c>
      <c r="H35" t="str">
        <f>"1.498"</f>
        <v>1.498</v>
      </c>
      <c r="I35" t="str">
        <f>" 100                                                 "</f>
        <v xml:space="preserve"> 100                                                 </v>
      </c>
      <c r="J35" t="str">
        <f>""</f>
        <v/>
      </c>
    </row>
    <row r="36" spans="1:10">
      <c r="A36" s="1" t="str">
        <f t="shared" si="5"/>
        <v>3d6.(5D).4s.4p.(3P*)</v>
      </c>
      <c r="B36" t="str">
        <f t="shared" si="6"/>
        <v>z 7F*</v>
      </c>
      <c r="C36" t="str">
        <f>"5"</f>
        <v>5</v>
      </c>
      <c r="D36" t="str">
        <f>""</f>
        <v/>
      </c>
      <c r="E36" t="str">
        <f>"22845.869"</f>
        <v>22845.869</v>
      </c>
      <c r="F36" t="str">
        <f>""</f>
        <v/>
      </c>
      <c r="G36" t="str">
        <f t="shared" si="3"/>
        <v>0.001</v>
      </c>
      <c r="H36" t="str">
        <f>"1.498"</f>
        <v>1.498</v>
      </c>
      <c r="I36" t="str">
        <f>"  99                                                 "</f>
        <v xml:space="preserve">  99                                                 </v>
      </c>
      <c r="J36" t="str">
        <f>""</f>
        <v/>
      </c>
    </row>
    <row r="37" spans="1:10">
      <c r="A37" s="1" t="str">
        <f t="shared" si="5"/>
        <v>3d6.(5D).4s.4p.(3P*)</v>
      </c>
      <c r="B37" t="str">
        <f t="shared" si="6"/>
        <v>z 7F*</v>
      </c>
      <c r="C37" t="str">
        <f>"4"</f>
        <v>4</v>
      </c>
      <c r="D37" t="str">
        <f>""</f>
        <v/>
      </c>
      <c r="E37" t="str">
        <f>"22996.674"</f>
        <v>22996.674</v>
      </c>
      <c r="F37" t="str">
        <f>""</f>
        <v/>
      </c>
      <c r="G37" t="str">
        <f t="shared" si="3"/>
        <v>0.001</v>
      </c>
      <c r="H37" t="str">
        <f>"1.493"</f>
        <v>1.493</v>
      </c>
      <c r="I37" t="str">
        <f>"  99                                                 "</f>
        <v xml:space="preserve">  99                                                 </v>
      </c>
      <c r="J37" t="str">
        <f>""</f>
        <v/>
      </c>
    </row>
    <row r="38" spans="1:10">
      <c r="A38" s="1" t="str">
        <f t="shared" si="5"/>
        <v>3d6.(5D).4s.4p.(3P*)</v>
      </c>
      <c r="B38" t="str">
        <f t="shared" si="6"/>
        <v>z 7F*</v>
      </c>
      <c r="C38" t="str">
        <f>"3"</f>
        <v>3</v>
      </c>
      <c r="D38" t="str">
        <f>""</f>
        <v/>
      </c>
      <c r="E38" t="str">
        <f>"23110.939"</f>
        <v>23110.939</v>
      </c>
      <c r="F38" t="str">
        <f>""</f>
        <v/>
      </c>
      <c r="G38" t="str">
        <f t="shared" si="3"/>
        <v>0.001</v>
      </c>
      <c r="H38" t="str">
        <f>"1.513"</f>
        <v>1.513</v>
      </c>
      <c r="I38" t="str">
        <f>"  99                                                 "</f>
        <v xml:space="preserve">  99                                                 </v>
      </c>
      <c r="J38" t="str">
        <f>""</f>
        <v/>
      </c>
    </row>
    <row r="39" spans="1:10">
      <c r="A39" s="1" t="str">
        <f t="shared" si="5"/>
        <v>3d6.(5D).4s.4p.(3P*)</v>
      </c>
      <c r="B39" t="str">
        <f t="shared" si="6"/>
        <v>z 7F*</v>
      </c>
      <c r="C39" t="str">
        <f>"2"</f>
        <v>2</v>
      </c>
      <c r="D39" t="str">
        <f>""</f>
        <v/>
      </c>
      <c r="E39" t="str">
        <f>"23192.500"</f>
        <v>23192.500</v>
      </c>
      <c r="F39" t="str">
        <f>""</f>
        <v/>
      </c>
      <c r="G39" t="str">
        <f t="shared" si="3"/>
        <v>0.001</v>
      </c>
      <c r="H39" t="str">
        <f>"1.504"</f>
        <v>1.504</v>
      </c>
      <c r="I39" t="str">
        <f>"  99                                                 "</f>
        <v xml:space="preserve">  99                                                 </v>
      </c>
      <c r="J39" t="str">
        <f>""</f>
        <v/>
      </c>
    </row>
    <row r="40" spans="1:10">
      <c r="A40" s="1" t="str">
        <f t="shared" si="5"/>
        <v>3d6.(5D).4s.4p.(3P*)</v>
      </c>
      <c r="B40" t="str">
        <f t="shared" si="6"/>
        <v>z 7F*</v>
      </c>
      <c r="C40" t="str">
        <f>"1"</f>
        <v>1</v>
      </c>
      <c r="D40" t="str">
        <f>""</f>
        <v/>
      </c>
      <c r="E40" t="str">
        <f>"23244.838"</f>
        <v>23244.838</v>
      </c>
      <c r="F40" t="str">
        <f>""</f>
        <v/>
      </c>
      <c r="G40" t="str">
        <f t="shared" si="3"/>
        <v>0.001</v>
      </c>
      <c r="H40" t="str">
        <f>"1.549"</f>
        <v>1.549</v>
      </c>
      <c r="I40" t="str">
        <f>" 100                                                 "</f>
        <v xml:space="preserve"> 100                                                 </v>
      </c>
      <c r="J40" t="str">
        <f>""</f>
        <v/>
      </c>
    </row>
    <row r="41" spans="1:10">
      <c r="A41" s="1" t="str">
        <f t="shared" si="5"/>
        <v>3d6.(5D).4s.4p.(3P*)</v>
      </c>
      <c r="B41" t="str">
        <f t="shared" si="6"/>
        <v>z 7F*</v>
      </c>
      <c r="C41" t="str">
        <f>"0"</f>
        <v>0</v>
      </c>
      <c r="D41" t="str">
        <f>""</f>
        <v/>
      </c>
      <c r="E41" t="str">
        <f>"23270.384"</f>
        <v>23270.384</v>
      </c>
      <c r="F41" t="str">
        <f>""</f>
        <v/>
      </c>
      <c r="G41" t="str">
        <f>"0.002"</f>
        <v>0.002</v>
      </c>
      <c r="H41" t="str">
        <f>""</f>
        <v/>
      </c>
      <c r="I41" t="str">
        <f>" 100                                                 "</f>
        <v xml:space="preserve"> 100                                                 </v>
      </c>
      <c r="J41" t="str">
        <f>""</f>
        <v/>
      </c>
    </row>
    <row r="42" spans="1:10">
      <c r="A42" s="1" t="str">
        <f>"3d7.(4P).4s"</f>
        <v>3d7.(4P).4s</v>
      </c>
      <c r="B42" t="str">
        <f>"b 3P"</f>
        <v>b 3P</v>
      </c>
      <c r="C42" t="str">
        <f>"2"</f>
        <v>2</v>
      </c>
      <c r="D42" t="str">
        <f>""</f>
        <v/>
      </c>
      <c r="E42" t="str">
        <f>"22838.323"</f>
        <v>22838.323</v>
      </c>
      <c r="F42" t="str">
        <f>""</f>
        <v/>
      </c>
      <c r="G42" t="str">
        <f t="shared" ref="G42:G52" si="7">"0.001"</f>
        <v>0.001</v>
      </c>
      <c r="H42" t="str">
        <f>"1.498"</f>
        <v>1.498</v>
      </c>
      <c r="I42" t="str">
        <f>"  92             :     4  3d6.4s2               3P1  "</f>
        <v xml:space="preserve">  92             :     4  3d6.4s2               3P1  </v>
      </c>
      <c r="J42" t="str">
        <f>""</f>
        <v/>
      </c>
    </row>
    <row r="43" spans="1:10">
      <c r="A43" s="1" t="str">
        <f>"3d7.(4P).4s"</f>
        <v>3d7.(4P).4s</v>
      </c>
      <c r="B43" t="str">
        <f>"b 3P"</f>
        <v>b 3P</v>
      </c>
      <c r="C43" t="str">
        <f>"1"</f>
        <v>1</v>
      </c>
      <c r="D43" t="str">
        <f>""</f>
        <v/>
      </c>
      <c r="E43" t="str">
        <f>"22946.816"</f>
        <v>22946.816</v>
      </c>
      <c r="F43" t="str">
        <f>""</f>
        <v/>
      </c>
      <c r="G43" t="str">
        <f t="shared" si="7"/>
        <v>0.001</v>
      </c>
      <c r="H43" t="str">
        <f>"1.489"</f>
        <v>1.489</v>
      </c>
      <c r="I43" t="str">
        <f>"  79             :    10  3d7.(2P).4s           3P   "</f>
        <v xml:space="preserve">  79             :    10  3d7.(2P).4s           3P   </v>
      </c>
      <c r="J43" t="str">
        <f>""</f>
        <v/>
      </c>
    </row>
    <row r="44" spans="1:10">
      <c r="A44" s="1" t="str">
        <f>"3d7.(4P).4s"</f>
        <v>3d7.(4P).4s</v>
      </c>
      <c r="B44" t="str">
        <f>"b 3P"</f>
        <v>b 3P</v>
      </c>
      <c r="C44" t="str">
        <f>"0"</f>
        <v>0</v>
      </c>
      <c r="D44" t="str">
        <f>""</f>
        <v/>
      </c>
      <c r="E44" t="str">
        <f>"23051.750"</f>
        <v>23051.750</v>
      </c>
      <c r="F44" t="str">
        <f>""</f>
        <v/>
      </c>
      <c r="G44" t="str">
        <f t="shared" si="7"/>
        <v>0.001</v>
      </c>
      <c r="H44" t="str">
        <f>""</f>
        <v/>
      </c>
      <c r="I44" t="str">
        <f>"  79             :    12  3d7.(2P).4s           3P   "</f>
        <v xml:space="preserve">  79             :    12  3d7.(2P).4s           3P   </v>
      </c>
      <c r="J44" t="str">
        <f>""</f>
        <v/>
      </c>
    </row>
    <row r="45" spans="1:10">
      <c r="A45" s="1" t="str">
        <f>"3d6.(5D).4s.4p.(3P*)"</f>
        <v>3d6.(5D).4s.4p.(3P*)</v>
      </c>
      <c r="B45" t="str">
        <f>"z 7P*"</f>
        <v>z 7P*</v>
      </c>
      <c r="C45" t="str">
        <f>"4"</f>
        <v>4</v>
      </c>
      <c r="D45" t="str">
        <f>""</f>
        <v/>
      </c>
      <c r="E45" t="str">
        <f>"23711.456"</f>
        <v>23711.456</v>
      </c>
      <c r="F45" t="str">
        <f>""</f>
        <v/>
      </c>
      <c r="G45" t="str">
        <f t="shared" si="7"/>
        <v>0.001</v>
      </c>
      <c r="H45" t="str">
        <f>"1.747"</f>
        <v>1.747</v>
      </c>
      <c r="I45" t="str">
        <f>"  98                                                 "</f>
        <v xml:space="preserve">  98                                                 </v>
      </c>
      <c r="J45" t="str">
        <f>""</f>
        <v/>
      </c>
    </row>
    <row r="46" spans="1:10">
      <c r="A46" s="1" t="str">
        <f>"3d6.(5D).4s.4p.(3P*)"</f>
        <v>3d6.(5D).4s.4p.(3P*)</v>
      </c>
      <c r="B46" t="str">
        <f>"z 7P*"</f>
        <v>z 7P*</v>
      </c>
      <c r="C46" t="str">
        <f>"3"</f>
        <v>3</v>
      </c>
      <c r="D46" t="str">
        <f>""</f>
        <v/>
      </c>
      <c r="E46" t="str">
        <f>"24180.862"</f>
        <v>24180.862</v>
      </c>
      <c r="F46" t="str">
        <f>""</f>
        <v/>
      </c>
      <c r="G46" t="str">
        <f t="shared" si="7"/>
        <v>0.001</v>
      </c>
      <c r="H46" t="str">
        <f>"1.908"</f>
        <v>1.908</v>
      </c>
      <c r="I46" t="str">
        <f>"  99                                                 "</f>
        <v xml:space="preserve">  99                                                 </v>
      </c>
      <c r="J46" t="str">
        <f>""</f>
        <v/>
      </c>
    </row>
    <row r="47" spans="1:10">
      <c r="A47" s="1" t="str">
        <f>"3d6.(5D).4s.4p.(3P*)"</f>
        <v>3d6.(5D).4s.4p.(3P*)</v>
      </c>
      <c r="B47" t="str">
        <f>"z 7P*"</f>
        <v>z 7P*</v>
      </c>
      <c r="C47" t="str">
        <f>"2"</f>
        <v>2</v>
      </c>
      <c r="D47" t="str">
        <f>""</f>
        <v/>
      </c>
      <c r="E47" t="str">
        <f>"24506.917"</f>
        <v>24506.917</v>
      </c>
      <c r="F47" t="str">
        <f>""</f>
        <v/>
      </c>
      <c r="G47" t="str">
        <f t="shared" si="7"/>
        <v>0.001</v>
      </c>
      <c r="H47" t="str">
        <f>"2.333"</f>
        <v>2.333</v>
      </c>
      <c r="I47" t="str">
        <f>"  98                                                 "</f>
        <v xml:space="preserve">  98                                                 </v>
      </c>
      <c r="J47" t="str">
        <f>""</f>
        <v/>
      </c>
    </row>
    <row r="48" spans="1:10">
      <c r="A48" s="1" t="str">
        <f>"3d6.4s2"</f>
        <v>3d6.4s2</v>
      </c>
      <c r="B48" t="str">
        <f>"b 3G"</f>
        <v>b 3G</v>
      </c>
      <c r="C48" t="str">
        <f>"5"</f>
        <v>5</v>
      </c>
      <c r="D48" t="str">
        <f>""</f>
        <v/>
      </c>
      <c r="E48" t="str">
        <f>"23783.619"</f>
        <v>23783.619</v>
      </c>
      <c r="F48" t="str">
        <f>""</f>
        <v/>
      </c>
      <c r="G48" t="str">
        <f t="shared" si="7"/>
        <v>0.001</v>
      </c>
      <c r="H48" t="str">
        <f>"1.200"</f>
        <v>1.200</v>
      </c>
      <c r="I48" t="str">
        <f>"  88             :    10  3d7.(2G).4s           3G   "</f>
        <v xml:space="preserve">  88             :    10  3d7.(2G).4s           3G   </v>
      </c>
      <c r="J48" t="str">
        <f>""</f>
        <v/>
      </c>
    </row>
    <row r="49" spans="1:10">
      <c r="A49" s="1" t="str">
        <f>"3d6.4s2"</f>
        <v>3d6.4s2</v>
      </c>
      <c r="B49" t="str">
        <f>"b 3G"</f>
        <v>b 3G</v>
      </c>
      <c r="C49" t="str">
        <f>"4"</f>
        <v>4</v>
      </c>
      <c r="D49" t="str">
        <f>""</f>
        <v/>
      </c>
      <c r="E49" t="str">
        <f>"24118.819"</f>
        <v>24118.819</v>
      </c>
      <c r="F49" t="str">
        <f>""</f>
        <v/>
      </c>
      <c r="G49" t="str">
        <f t="shared" si="7"/>
        <v>0.001</v>
      </c>
      <c r="H49" t="str">
        <f>"1.048"</f>
        <v>1.048</v>
      </c>
      <c r="I49" t="str">
        <f>"  88             :    10  3d7.(2G).4s           3G   "</f>
        <v xml:space="preserve">  88             :    10  3d7.(2G).4s           3G   </v>
      </c>
      <c r="J49" t="str">
        <f>""</f>
        <v/>
      </c>
    </row>
    <row r="50" spans="1:10">
      <c r="A50" s="1" t="str">
        <f>"3d6.4s2"</f>
        <v>3d6.4s2</v>
      </c>
      <c r="B50" t="str">
        <f>"b 3G"</f>
        <v>b 3G</v>
      </c>
      <c r="C50" t="str">
        <f>"3"</f>
        <v>3</v>
      </c>
      <c r="D50" t="str">
        <f>""</f>
        <v/>
      </c>
      <c r="E50" t="str">
        <f>"24338.767"</f>
        <v>24338.767</v>
      </c>
      <c r="F50" t="str">
        <f>""</f>
        <v/>
      </c>
      <c r="G50" t="str">
        <f t="shared" si="7"/>
        <v>0.001</v>
      </c>
      <c r="H50" t="str">
        <f>"0.761"</f>
        <v>0.761</v>
      </c>
      <c r="I50" t="str">
        <f>"  88             :    10  3d7.(2G).4s           3G   "</f>
        <v xml:space="preserve">  88             :    10  3d7.(2G).4s           3G   </v>
      </c>
      <c r="J50" t="str">
        <f>""</f>
        <v/>
      </c>
    </row>
    <row r="51" spans="1:10">
      <c r="A51" s="1" t="str">
        <f>"3d7.(2P).4s"</f>
        <v>3d7.(2P).4s</v>
      </c>
      <c r="B51" t="str">
        <f>"c 3P"</f>
        <v>c 3P</v>
      </c>
      <c r="C51" t="str">
        <f>"2"</f>
        <v>2</v>
      </c>
      <c r="D51" t="str">
        <f>""</f>
        <v/>
      </c>
      <c r="E51" t="str">
        <f>"24335.766"</f>
        <v>24335.766</v>
      </c>
      <c r="F51" t="str">
        <f>""</f>
        <v/>
      </c>
      <c r="G51" t="str">
        <f t="shared" si="7"/>
        <v>0.001</v>
      </c>
      <c r="H51" t="str">
        <f>"1.484"</f>
        <v>1.484</v>
      </c>
      <c r="I51" t="str">
        <f>"  90             :     4  3d7.(2D2).4s          3D   "</f>
        <v xml:space="preserve">  90             :     4  3d7.(2D2).4s          3D   </v>
      </c>
      <c r="J51" t="str">
        <f>""</f>
        <v/>
      </c>
    </row>
    <row r="52" spans="1:10">
      <c r="A52" s="1" t="str">
        <f>"3d7.(2P).4s"</f>
        <v>3d7.(2P).4s</v>
      </c>
      <c r="B52" t="str">
        <f>"c 3P"</f>
        <v>c 3P</v>
      </c>
      <c r="C52" t="str">
        <f>"1"</f>
        <v>1</v>
      </c>
      <c r="D52" t="str">
        <f>""</f>
        <v/>
      </c>
      <c r="E52" t="str">
        <f>"24772.018"</f>
        <v>24772.018</v>
      </c>
      <c r="F52" t="str">
        <f>""</f>
        <v/>
      </c>
      <c r="G52" t="str">
        <f t="shared" si="7"/>
        <v>0.001</v>
      </c>
      <c r="H52" t="str">
        <f>"1.466"</f>
        <v>1.466</v>
      </c>
      <c r="I52" t="str">
        <f>"  81             :     7  3d7.(4P).4s           3P   "</f>
        <v xml:space="preserve">  81             :     7  3d7.(4P).4s           3P   </v>
      </c>
      <c r="J52" t="str">
        <f>""</f>
        <v/>
      </c>
    </row>
    <row r="53" spans="1:10">
      <c r="A53" s="1" t="str">
        <f>"3d7.(2P).4s"</f>
        <v>3d7.(2P).4s</v>
      </c>
      <c r="B53" t="str">
        <f>"c 3P"</f>
        <v>c 3P</v>
      </c>
      <c r="C53" t="str">
        <f>"0"</f>
        <v>0</v>
      </c>
      <c r="D53" t="str">
        <f>""</f>
        <v/>
      </c>
      <c r="E53" t="str">
        <f>"25091.599"</f>
        <v>25091.599</v>
      </c>
      <c r="F53" t="str">
        <f>""</f>
        <v/>
      </c>
      <c r="G53" t="str">
        <f>"0.002"</f>
        <v>0.002</v>
      </c>
      <c r="H53" t="str">
        <f>""</f>
        <v/>
      </c>
      <c r="I53" t="str">
        <f>"  79             :    12  3d7.(4P).4s           3P   "</f>
        <v xml:space="preserve">  79             :    12  3d7.(4P).4s           3P   </v>
      </c>
      <c r="J53" t="str">
        <f>""</f>
        <v/>
      </c>
    </row>
    <row r="54" spans="1:10">
      <c r="A54" s="1" t="str">
        <f>"3d7.(2G).4s"</f>
        <v>3d7.(2G).4s</v>
      </c>
      <c r="B54" t="str">
        <f>"a 1G"</f>
        <v>a 1G</v>
      </c>
      <c r="C54" t="str">
        <f>"4"</f>
        <v>4</v>
      </c>
      <c r="D54" t="str">
        <f>""</f>
        <v/>
      </c>
      <c r="E54" t="str">
        <f>"24574.655"</f>
        <v>24574.655</v>
      </c>
      <c r="F54" t="str">
        <f>""</f>
        <v/>
      </c>
      <c r="G54" t="str">
        <f t="shared" ref="G54:G85" si="8">"0.001"</f>
        <v>0.001</v>
      </c>
      <c r="H54" t="str">
        <f>"1.001"</f>
        <v>1.001</v>
      </c>
      <c r="I54" t="str">
        <f>"  90             :     3  3d7.(2H).4s           3H   "</f>
        <v xml:space="preserve">  90             :     3  3d7.(2H).4s           3H   </v>
      </c>
      <c r="J54" t="str">
        <f>""</f>
        <v/>
      </c>
    </row>
    <row r="55" spans="1:10">
      <c r="A55" s="1" t="str">
        <f>"3d6.(5D).4s.4p.(3P*)"</f>
        <v>3d6.(5D).4s.4p.(3P*)</v>
      </c>
      <c r="B55" t="str">
        <f>"z 5D*"</f>
        <v>z 5D*</v>
      </c>
      <c r="C55" t="str">
        <f>"4"</f>
        <v>4</v>
      </c>
      <c r="D55" t="str">
        <f>""</f>
        <v/>
      </c>
      <c r="E55" t="str">
        <f>"25899.989"</f>
        <v>25899.989</v>
      </c>
      <c r="F55" t="str">
        <f>""</f>
        <v/>
      </c>
      <c r="G55" t="str">
        <f t="shared" si="8"/>
        <v>0.001</v>
      </c>
      <c r="H55" t="str">
        <f>"1.502"</f>
        <v>1.502</v>
      </c>
      <c r="I55" t="str">
        <f>"  91             :     6  3d7.(4F).4p           5D*  "</f>
        <v xml:space="preserve">  91             :     6  3d7.(4F).4p           5D*  </v>
      </c>
      <c r="J55" t="str">
        <f>""</f>
        <v/>
      </c>
    </row>
    <row r="56" spans="1:10">
      <c r="A56" s="1" t="str">
        <f>"3d6.(5D).4s.4p.(3P*)"</f>
        <v>3d6.(5D).4s.4p.(3P*)</v>
      </c>
      <c r="B56" t="str">
        <f>"z 5D*"</f>
        <v>z 5D*</v>
      </c>
      <c r="C56" t="str">
        <f>"3"</f>
        <v>3</v>
      </c>
      <c r="D56" t="str">
        <f>""</f>
        <v/>
      </c>
      <c r="E56" t="str">
        <f>"26140.179"</f>
        <v>26140.179</v>
      </c>
      <c r="F56" t="str">
        <f>""</f>
        <v/>
      </c>
      <c r="G56" t="str">
        <f t="shared" si="8"/>
        <v>0.001</v>
      </c>
      <c r="H56" t="str">
        <f>"1.500"</f>
        <v>1.500</v>
      </c>
      <c r="I56" t="str">
        <f>"  91             :     6  3d7.(4F).4p           5D*  "</f>
        <v xml:space="preserve">  91             :     6  3d7.(4F).4p           5D*  </v>
      </c>
      <c r="J56" t="str">
        <f>""</f>
        <v/>
      </c>
    </row>
    <row r="57" spans="1:10">
      <c r="A57" s="1" t="str">
        <f>"3d6.(5D).4s.4p.(3P*)"</f>
        <v>3d6.(5D).4s.4p.(3P*)</v>
      </c>
      <c r="B57" t="str">
        <f>"z 5D*"</f>
        <v>z 5D*</v>
      </c>
      <c r="C57" t="str">
        <f>"2"</f>
        <v>2</v>
      </c>
      <c r="D57" t="str">
        <f>""</f>
        <v/>
      </c>
      <c r="E57" t="str">
        <f>"26339.696"</f>
        <v>26339.696</v>
      </c>
      <c r="F57" t="str">
        <f>""</f>
        <v/>
      </c>
      <c r="G57" t="str">
        <f t="shared" si="8"/>
        <v>0.001</v>
      </c>
      <c r="H57" t="str">
        <f>"1.503"</f>
        <v>1.503</v>
      </c>
      <c r="I57" t="str">
        <f>"  92             :     6  3d7.(4F).4p           5D*  "</f>
        <v xml:space="preserve">  92             :     6  3d7.(4F).4p           5D*  </v>
      </c>
      <c r="J57" t="str">
        <f>""</f>
        <v/>
      </c>
    </row>
    <row r="58" spans="1:10">
      <c r="A58" s="1" t="str">
        <f>"3d6.(5D).4s.4p.(3P*)"</f>
        <v>3d6.(5D).4s.4p.(3P*)</v>
      </c>
      <c r="B58" t="str">
        <f>"z 5D*"</f>
        <v>z 5D*</v>
      </c>
      <c r="C58" t="str">
        <f>"1"</f>
        <v>1</v>
      </c>
      <c r="D58" t="str">
        <f>""</f>
        <v/>
      </c>
      <c r="E58" t="str">
        <f>"26479.381"</f>
        <v>26479.381</v>
      </c>
      <c r="F58" t="str">
        <f>""</f>
        <v/>
      </c>
      <c r="G58" t="str">
        <f t="shared" si="8"/>
        <v>0.001</v>
      </c>
      <c r="H58" t="str">
        <f>"1.495"</f>
        <v>1.495</v>
      </c>
      <c r="I58" t="str">
        <f>"  92             :     6  3d7.(4F).4p           5D*  "</f>
        <v xml:space="preserve">  92             :     6  3d7.(4F).4p           5D*  </v>
      </c>
      <c r="J58" t="str">
        <f>""</f>
        <v/>
      </c>
    </row>
    <row r="59" spans="1:10">
      <c r="A59" s="1" t="str">
        <f>"3d6.(5D).4s.4p.(3P*)"</f>
        <v>3d6.(5D).4s.4p.(3P*)</v>
      </c>
      <c r="B59" t="str">
        <f>"z 5D*"</f>
        <v>z 5D*</v>
      </c>
      <c r="C59" t="str">
        <f>"0"</f>
        <v>0</v>
      </c>
      <c r="D59" t="str">
        <f>""</f>
        <v/>
      </c>
      <c r="E59" t="str">
        <f>"26550.479"</f>
        <v>26550.479</v>
      </c>
      <c r="F59" t="str">
        <f>""</f>
        <v/>
      </c>
      <c r="G59" t="str">
        <f t="shared" si="8"/>
        <v>0.001</v>
      </c>
      <c r="H59" t="str">
        <f>""</f>
        <v/>
      </c>
      <c r="I59" t="str">
        <f>"  93             :     5  3d7.(4F).4p           5D*  "</f>
        <v xml:space="preserve">  93             :     5  3d7.(4F).4p           5D*  </v>
      </c>
      <c r="J59" t="str">
        <f>""</f>
        <v/>
      </c>
    </row>
    <row r="60" spans="1:10">
      <c r="A60" s="1" t="str">
        <f>"3d7.(2H).4s"</f>
        <v>3d7.(2H).4s</v>
      </c>
      <c r="B60" t="str">
        <f>"b 3H"</f>
        <v>b 3H</v>
      </c>
      <c r="C60" t="str">
        <f>"6"</f>
        <v>6</v>
      </c>
      <c r="D60" t="str">
        <f>""</f>
        <v/>
      </c>
      <c r="E60" t="str">
        <f>"26105.908"</f>
        <v>26105.908</v>
      </c>
      <c r="F60" t="str">
        <f>""</f>
        <v/>
      </c>
      <c r="G60" t="str">
        <f t="shared" si="8"/>
        <v>0.001</v>
      </c>
      <c r="H60" t="str">
        <f>"1.165"</f>
        <v>1.165</v>
      </c>
      <c r="I60" t="str">
        <f>" 100                                                 "</f>
        <v xml:space="preserve"> 100                                                 </v>
      </c>
      <c r="J60" t="str">
        <f>""</f>
        <v/>
      </c>
    </row>
    <row r="61" spans="1:10">
      <c r="A61" s="1" t="str">
        <f>"3d7.(2H).4s"</f>
        <v>3d7.(2H).4s</v>
      </c>
      <c r="B61" t="str">
        <f>"b 3H"</f>
        <v>b 3H</v>
      </c>
      <c r="C61" t="str">
        <f>"5"</f>
        <v>5</v>
      </c>
      <c r="D61" t="str">
        <f>""</f>
        <v/>
      </c>
      <c r="E61" t="str">
        <f>"26351.040"</f>
        <v>26351.040</v>
      </c>
      <c r="F61" t="str">
        <f>""</f>
        <v/>
      </c>
      <c r="G61" t="str">
        <f t="shared" si="8"/>
        <v>0.001</v>
      </c>
      <c r="H61" t="str">
        <f>"1.032"</f>
        <v>1.032</v>
      </c>
      <c r="I61" t="str">
        <f>"  98             :     2  3d7.(2H).4s           1H   "</f>
        <v xml:space="preserve">  98             :     2  3d7.(2H).4s           1H   </v>
      </c>
      <c r="J61" t="str">
        <f>""</f>
        <v/>
      </c>
    </row>
    <row r="62" spans="1:10">
      <c r="A62" s="1" t="str">
        <f>"3d7.(2H).4s"</f>
        <v>3d7.(2H).4s</v>
      </c>
      <c r="B62" t="str">
        <f>"b 3H"</f>
        <v>b 3H</v>
      </c>
      <c r="C62" t="str">
        <f>"4"</f>
        <v>4</v>
      </c>
      <c r="D62" t="str">
        <f>""</f>
        <v/>
      </c>
      <c r="E62" t="str">
        <f>"26627.609"</f>
        <v>26627.609</v>
      </c>
      <c r="F62" t="str">
        <f>""</f>
        <v/>
      </c>
      <c r="G62" t="str">
        <f t="shared" si="8"/>
        <v>0.001</v>
      </c>
      <c r="H62" t="str">
        <f>"0.811"</f>
        <v>0.811</v>
      </c>
      <c r="I62" t="str">
        <f>"  98             :     2  3d7.(2G).4s           1G   "</f>
        <v xml:space="preserve">  98             :     2  3d7.(2G).4s           1G   </v>
      </c>
      <c r="J62" t="str">
        <f>""</f>
        <v/>
      </c>
    </row>
    <row r="63" spans="1:10">
      <c r="A63" s="1" t="str">
        <f>"3d7.(2D2).4s"</f>
        <v>3d7.(2D2).4s</v>
      </c>
      <c r="B63" t="str">
        <f>"a 3D"</f>
        <v>a 3D</v>
      </c>
      <c r="C63" t="str">
        <f>"3"</f>
        <v>3</v>
      </c>
      <c r="D63" t="str">
        <f>""</f>
        <v/>
      </c>
      <c r="E63" t="str">
        <f>"26224.969"</f>
        <v>26224.969</v>
      </c>
      <c r="F63" t="str">
        <f>""</f>
        <v/>
      </c>
      <c r="G63" t="str">
        <f t="shared" si="8"/>
        <v>0.001</v>
      </c>
      <c r="H63" t="str">
        <f>"1.335"</f>
        <v>1.335</v>
      </c>
      <c r="I63" t="str">
        <f>"  74             :     3  3d7.(2D1).4s          3D   "</f>
        <v xml:space="preserve">  74             :     3  3d7.(2D1).4s          3D   </v>
      </c>
      <c r="J63" t="str">
        <f>""</f>
        <v/>
      </c>
    </row>
    <row r="64" spans="1:10">
      <c r="A64" s="1" t="str">
        <f>"3d7.(2D2).4s"</f>
        <v>3d7.(2D2).4s</v>
      </c>
      <c r="B64" t="str">
        <f>"a 3D"</f>
        <v>a 3D</v>
      </c>
      <c r="C64" t="str">
        <f>"1"</f>
        <v>1</v>
      </c>
      <c r="D64" t="str">
        <f>""</f>
        <v/>
      </c>
      <c r="E64" t="str">
        <f>"26406.465"</f>
        <v>26406.465</v>
      </c>
      <c r="F64" t="str">
        <f>""</f>
        <v/>
      </c>
      <c r="G64" t="str">
        <f t="shared" si="8"/>
        <v>0.001</v>
      </c>
      <c r="H64" t="str">
        <f>"0.731"</f>
        <v>0.731</v>
      </c>
      <c r="I64" t="str">
        <f>"  45             :    35  3d7.(2P).4s           1P   "</f>
        <v xml:space="preserve">  45             :    35  3d7.(2P).4s           1P   </v>
      </c>
      <c r="J64" t="str">
        <f>""</f>
        <v/>
      </c>
    </row>
    <row r="65" spans="1:10">
      <c r="A65" s="1" t="str">
        <f>"3d7.(2D2).4s"</f>
        <v>3d7.(2D2).4s</v>
      </c>
      <c r="B65" t="str">
        <f>"a 3D"</f>
        <v>a 3D</v>
      </c>
      <c r="C65" t="str">
        <f>"2"</f>
        <v>2</v>
      </c>
      <c r="D65" t="str">
        <f>""</f>
        <v/>
      </c>
      <c r="E65" t="str">
        <f>"26623.735"</f>
        <v>26623.735</v>
      </c>
      <c r="F65" t="str">
        <f>""</f>
        <v/>
      </c>
      <c r="G65" t="str">
        <f t="shared" si="8"/>
        <v>0.001</v>
      </c>
      <c r="H65" t="str">
        <f>"1.178"</f>
        <v>1.178</v>
      </c>
      <c r="I65" t="str">
        <f>"  67             :    18  3d7.(2D1).4s          3D   "</f>
        <v xml:space="preserve">  67             :    18  3d7.(2D1).4s          3D   </v>
      </c>
      <c r="J65" t="str">
        <f>""</f>
        <v/>
      </c>
    </row>
    <row r="66" spans="1:10">
      <c r="A66" s="1" t="str">
        <f>"3d6.(5D).4s.4p.(3P*)"</f>
        <v>3d6.(5D).4s.4p.(3P*)</v>
      </c>
      <c r="B66" t="str">
        <f>"z 5F*"</f>
        <v>z 5F*</v>
      </c>
      <c r="C66" t="str">
        <f>"5"</f>
        <v>5</v>
      </c>
      <c r="D66" t="str">
        <f>""</f>
        <v/>
      </c>
      <c r="E66" t="str">
        <f>"26874.550"</f>
        <v>26874.550</v>
      </c>
      <c r="F66" t="str">
        <f>""</f>
        <v/>
      </c>
      <c r="G66" t="str">
        <f t="shared" si="8"/>
        <v>0.001</v>
      </c>
      <c r="H66" t="str">
        <f>"1.399"</f>
        <v>1.399</v>
      </c>
      <c r="I66" t="str">
        <f>"  95             :     4  3d7.(4F).4p           5F*  "</f>
        <v xml:space="preserve">  95             :     4  3d7.(4F).4p           5F*  </v>
      </c>
      <c r="J66" t="str">
        <f>""</f>
        <v/>
      </c>
    </row>
    <row r="67" spans="1:10">
      <c r="A67" s="1" t="str">
        <f>"3d6.(5D).4s.4p.(3P*)"</f>
        <v>3d6.(5D).4s.4p.(3P*)</v>
      </c>
      <c r="B67" t="str">
        <f>"z 5F*"</f>
        <v>z 5F*</v>
      </c>
      <c r="C67" t="str">
        <f>"4"</f>
        <v>4</v>
      </c>
      <c r="D67" t="str">
        <f>""</f>
        <v/>
      </c>
      <c r="E67" t="str">
        <f>"27166.820"</f>
        <v>27166.820</v>
      </c>
      <c r="F67" t="str">
        <f>""</f>
        <v/>
      </c>
      <c r="G67" t="str">
        <f t="shared" si="8"/>
        <v>0.001</v>
      </c>
      <c r="H67" t="str">
        <f>"1.355"</f>
        <v>1.355</v>
      </c>
      <c r="I67" t="str">
        <f>"  94             :     4  3d7.(4F).4p           5F*  "</f>
        <v xml:space="preserve">  94             :     4  3d7.(4F).4p           5F*  </v>
      </c>
      <c r="J67" t="str">
        <f>""</f>
        <v/>
      </c>
    </row>
    <row r="68" spans="1:10">
      <c r="A68" s="1" t="str">
        <f>"3d6.(5D).4s.4p.(3P*)"</f>
        <v>3d6.(5D).4s.4p.(3P*)</v>
      </c>
      <c r="B68" t="str">
        <f>"z 5F*"</f>
        <v>z 5F*</v>
      </c>
      <c r="C68" t="str">
        <f>"3"</f>
        <v>3</v>
      </c>
      <c r="D68" t="str">
        <f>""</f>
        <v/>
      </c>
      <c r="E68" t="str">
        <f>"27394.691"</f>
        <v>27394.691</v>
      </c>
      <c r="F68" t="str">
        <f>""</f>
        <v/>
      </c>
      <c r="G68" t="str">
        <f t="shared" si="8"/>
        <v>0.001</v>
      </c>
      <c r="H68" t="str">
        <f>"1.250"</f>
        <v>1.250</v>
      </c>
      <c r="I68" t="str">
        <f>"  94             :     4  3d7.(4F).4p           5F*  "</f>
        <v xml:space="preserve">  94             :     4  3d7.(4F).4p           5F*  </v>
      </c>
      <c r="J68" t="str">
        <f>""</f>
        <v/>
      </c>
    </row>
    <row r="69" spans="1:10">
      <c r="A69" s="1" t="str">
        <f>"3d6.(5D).4s.4p.(3P*)"</f>
        <v>3d6.(5D).4s.4p.(3P*)</v>
      </c>
      <c r="B69" t="str">
        <f>"z 5F*"</f>
        <v>z 5F*</v>
      </c>
      <c r="C69" t="str">
        <f>"2"</f>
        <v>2</v>
      </c>
      <c r="D69" t="str">
        <f>""</f>
        <v/>
      </c>
      <c r="E69" t="str">
        <f>"27559.583"</f>
        <v>27559.583</v>
      </c>
      <c r="F69" t="str">
        <f>""</f>
        <v/>
      </c>
      <c r="G69" t="str">
        <f t="shared" si="8"/>
        <v>0.001</v>
      </c>
      <c r="H69" t="str">
        <f>"1.004"</f>
        <v>1.004</v>
      </c>
      <c r="I69" t="str">
        <f>"  95             :     4  3d7.(4F).4p           5F*  "</f>
        <v xml:space="preserve">  95             :     4  3d7.(4F).4p           5F*  </v>
      </c>
      <c r="J69" t="str">
        <f>""</f>
        <v/>
      </c>
    </row>
    <row r="70" spans="1:10">
      <c r="A70" s="1" t="str">
        <f>"3d6.(5D).4s.4p.(3P*)"</f>
        <v>3d6.(5D).4s.4p.(3P*)</v>
      </c>
      <c r="B70" t="str">
        <f>"z 5F*"</f>
        <v>z 5F*</v>
      </c>
      <c r="C70" t="str">
        <f>"1"</f>
        <v>1</v>
      </c>
      <c r="D70" t="str">
        <f>""</f>
        <v/>
      </c>
      <c r="E70" t="str">
        <f>"27666.348"</f>
        <v>27666.348</v>
      </c>
      <c r="F70" t="str">
        <f>""</f>
        <v/>
      </c>
      <c r="G70" t="str">
        <f t="shared" si="8"/>
        <v>0.001</v>
      </c>
      <c r="H70" t="str">
        <f>"-0.012"</f>
        <v>-0.012</v>
      </c>
      <c r="I70" t="str">
        <f>"  95             :     4  3d7.(4F).4p           5F*  "</f>
        <v xml:space="preserve">  95             :     4  3d7.(4F).4p           5F*  </v>
      </c>
      <c r="J70" t="str">
        <f>""</f>
        <v/>
      </c>
    </row>
    <row r="71" spans="1:10">
      <c r="A71" s="1" t="str">
        <f>"3d7.(2P).4s"</f>
        <v>3d7.(2P).4s</v>
      </c>
      <c r="B71" t="str">
        <f>"a 1P"</f>
        <v>a 1P</v>
      </c>
      <c r="C71" t="str">
        <f>"1"</f>
        <v>1</v>
      </c>
      <c r="D71" t="str">
        <f>""</f>
        <v/>
      </c>
      <c r="E71" t="str">
        <f>"27543.003"</f>
        <v>27543.003</v>
      </c>
      <c r="F71" t="str">
        <f>""</f>
        <v/>
      </c>
      <c r="G71" t="str">
        <f t="shared" si="8"/>
        <v>0.001</v>
      </c>
      <c r="H71" t="str">
        <f>"0.817"</f>
        <v>0.817</v>
      </c>
      <c r="I71" t="str">
        <f>"  62             :    23  3d7.(2D2).4s          3D   "</f>
        <v xml:space="preserve">  62             :    23  3d7.(2D2).4s          3D   </v>
      </c>
      <c r="J71" t="str">
        <f>""</f>
        <v/>
      </c>
    </row>
    <row r="72" spans="1:10">
      <c r="A72" s="1" t="str">
        <f>"3d7.(2D2).4s"</f>
        <v>3d7.(2D2).4s</v>
      </c>
      <c r="B72" t="str">
        <f>"a 1D"</f>
        <v>a 1D</v>
      </c>
      <c r="C72" t="str">
        <f>"2"</f>
        <v>2</v>
      </c>
      <c r="D72" t="str">
        <f>""</f>
        <v/>
      </c>
      <c r="E72" t="str">
        <f>"28604.613"</f>
        <v>28604.613</v>
      </c>
      <c r="F72" t="str">
        <f>""</f>
        <v/>
      </c>
      <c r="G72" t="str">
        <f t="shared" si="8"/>
        <v>0.001</v>
      </c>
      <c r="H72" t="str">
        <f>"1.028"</f>
        <v>1.028</v>
      </c>
      <c r="I72" t="str">
        <f>"  64             :    16  3d7.(2D1).4s          1D   "</f>
        <v xml:space="preserve">  64             :    16  3d7.(2D1).4s          1D   </v>
      </c>
      <c r="J72" t="str">
        <f>""</f>
        <v/>
      </c>
    </row>
    <row r="73" spans="1:10">
      <c r="A73" s="1" t="str">
        <f>"3d7.(2H).4s"</f>
        <v>3d7.(2H).4s</v>
      </c>
      <c r="B73" t="str">
        <f>"a 1H"</f>
        <v>a 1H</v>
      </c>
      <c r="C73" t="str">
        <f>"5"</f>
        <v>5</v>
      </c>
      <c r="D73" t="str">
        <f>""</f>
        <v/>
      </c>
      <c r="E73" t="str">
        <f>"28819.954"</f>
        <v>28819.954</v>
      </c>
      <c r="F73" t="str">
        <f>""</f>
        <v/>
      </c>
      <c r="G73" t="str">
        <f t="shared" si="8"/>
        <v>0.001</v>
      </c>
      <c r="H73" t="str">
        <f>"1.000"</f>
        <v>1.000</v>
      </c>
      <c r="I73" t="str">
        <f>"  98                                                 "</f>
        <v xml:space="preserve">  98                                                 </v>
      </c>
      <c r="J73" t="str">
        <f>""</f>
        <v/>
      </c>
    </row>
    <row r="74" spans="1:10">
      <c r="A74" s="1" t="str">
        <f>"3d6.(5D).4s.4p.(3P*)"</f>
        <v>3d6.(5D).4s.4p.(3P*)</v>
      </c>
      <c r="B74" t="str">
        <f>"z 5P*"</f>
        <v>z 5P*</v>
      </c>
      <c r="C74" t="str">
        <f>"3"</f>
        <v>3</v>
      </c>
      <c r="D74" t="str">
        <f>""</f>
        <v/>
      </c>
      <c r="E74" t="str">
        <f>"29056.324"</f>
        <v>29056.324</v>
      </c>
      <c r="F74" t="str">
        <f>""</f>
        <v/>
      </c>
      <c r="G74" t="str">
        <f t="shared" si="8"/>
        <v>0.001</v>
      </c>
      <c r="H74" t="str">
        <f>"1.657"</f>
        <v>1.657</v>
      </c>
      <c r="I74" t="str">
        <f>"  98                                                 "</f>
        <v xml:space="preserve">  98                                                 </v>
      </c>
      <c r="J74" t="str">
        <f>""</f>
        <v/>
      </c>
    </row>
    <row r="75" spans="1:10">
      <c r="A75" s="1" t="str">
        <f>"3d6.(5D).4s.4p.(3P*)"</f>
        <v>3d6.(5D).4s.4p.(3P*)</v>
      </c>
      <c r="B75" t="str">
        <f>"z 5P*"</f>
        <v>z 5P*</v>
      </c>
      <c r="C75" t="str">
        <f>"2"</f>
        <v>2</v>
      </c>
      <c r="D75" t="str">
        <f>""</f>
        <v/>
      </c>
      <c r="E75" t="str">
        <f>"29469.024"</f>
        <v>29469.024</v>
      </c>
      <c r="F75" t="str">
        <f>""</f>
        <v/>
      </c>
      <c r="G75" t="str">
        <f t="shared" si="8"/>
        <v>0.001</v>
      </c>
      <c r="H75" t="str">
        <f>"1.835"</f>
        <v>1.835</v>
      </c>
      <c r="I75" t="str">
        <f>"  97                                                 "</f>
        <v xml:space="preserve">  97                                                 </v>
      </c>
      <c r="J75" t="str">
        <f>""</f>
        <v/>
      </c>
    </row>
    <row r="76" spans="1:10">
      <c r="A76" s="1" t="str">
        <f>"3d6.(5D).4s.4p.(3P*)"</f>
        <v>3d6.(5D).4s.4p.(3P*)</v>
      </c>
      <c r="B76" t="str">
        <f>"z 5P*"</f>
        <v>z 5P*</v>
      </c>
      <c r="C76" t="str">
        <f>"1"</f>
        <v>1</v>
      </c>
      <c r="D76" t="str">
        <f>""</f>
        <v/>
      </c>
      <c r="E76" t="str">
        <f>"29732.736"</f>
        <v>29732.736</v>
      </c>
      <c r="F76" t="str">
        <f>""</f>
        <v/>
      </c>
      <c r="G76" t="str">
        <f t="shared" si="8"/>
        <v>0.001</v>
      </c>
      <c r="H76" t="str">
        <f>"2.487"</f>
        <v>2.487</v>
      </c>
      <c r="I76" t="str">
        <f>"  97                                                 "</f>
        <v xml:space="preserve">  97                                                 </v>
      </c>
      <c r="J76" t="str">
        <f>""</f>
        <v/>
      </c>
    </row>
    <row r="77" spans="1:10">
      <c r="A77" s="1" t="str">
        <f>"3d6.4s2"</f>
        <v>3d6.4s2</v>
      </c>
      <c r="B77" t="str">
        <f>"a 1I"</f>
        <v>a 1I</v>
      </c>
      <c r="C77" t="str">
        <f>"6"</f>
        <v>6</v>
      </c>
      <c r="D77" t="str">
        <f>""</f>
        <v/>
      </c>
      <c r="E77" t="str">
        <f>"29313.008"</f>
        <v>29313.008</v>
      </c>
      <c r="F77" t="str">
        <f>""</f>
        <v/>
      </c>
      <c r="G77" t="str">
        <f t="shared" si="8"/>
        <v>0.001</v>
      </c>
      <c r="H77" t="str">
        <f>"1.014"</f>
        <v>1.014</v>
      </c>
      <c r="I77" t="str">
        <f>" 100                                                 "</f>
        <v xml:space="preserve"> 100                                                 </v>
      </c>
      <c r="J77" t="str">
        <f>""</f>
        <v/>
      </c>
    </row>
    <row r="78" spans="1:10">
      <c r="A78" s="1" t="str">
        <f>"3d6.4s2"</f>
        <v>3d6.4s2</v>
      </c>
      <c r="B78" t="str">
        <f>"b 3D"</f>
        <v>b 3D</v>
      </c>
      <c r="C78" t="str">
        <f>"1"</f>
        <v>1</v>
      </c>
      <c r="D78" t="str">
        <f>""</f>
        <v/>
      </c>
      <c r="E78" t="str">
        <f>"29320.026"</f>
        <v>29320.026</v>
      </c>
      <c r="F78" t="str">
        <f>""</f>
        <v/>
      </c>
      <c r="G78" t="str">
        <f t="shared" si="8"/>
        <v>0.001</v>
      </c>
      <c r="H78" t="str">
        <f>""</f>
        <v/>
      </c>
      <c r="I78" t="str">
        <f>"  88             :     8  3d7.(2D2).4s          3D   "</f>
        <v xml:space="preserve">  88             :     8  3d7.(2D2).4s          3D   </v>
      </c>
      <c r="J78" t="str">
        <f>""</f>
        <v/>
      </c>
    </row>
    <row r="79" spans="1:10">
      <c r="A79" s="1" t="str">
        <f>"3d6.4s2"</f>
        <v>3d6.4s2</v>
      </c>
      <c r="B79" t="str">
        <f>"b 3D"</f>
        <v>b 3D</v>
      </c>
      <c r="C79" t="str">
        <f>"2"</f>
        <v>2</v>
      </c>
      <c r="D79" t="str">
        <f>""</f>
        <v/>
      </c>
      <c r="E79" t="str">
        <f>"29356.744"</f>
        <v>29356.744</v>
      </c>
      <c r="F79" t="str">
        <f>""</f>
        <v/>
      </c>
      <c r="G79" t="str">
        <f t="shared" si="8"/>
        <v>0.001</v>
      </c>
      <c r="H79" t="str">
        <f>""</f>
        <v/>
      </c>
      <c r="I79" t="str">
        <f>"  81             :     7  3d7.(2D2).4s          3D   "</f>
        <v xml:space="preserve">  81             :     7  3d7.(2D2).4s          3D   </v>
      </c>
      <c r="J79" t="str">
        <f>""</f>
        <v/>
      </c>
    </row>
    <row r="80" spans="1:10">
      <c r="A80" s="1" t="str">
        <f>"3d6.4s2"</f>
        <v>3d6.4s2</v>
      </c>
      <c r="B80" t="str">
        <f>"b 3D"</f>
        <v>b 3D</v>
      </c>
      <c r="C80" t="str">
        <f>"3"</f>
        <v>3</v>
      </c>
      <c r="D80" t="str">
        <f>""</f>
        <v/>
      </c>
      <c r="E80" t="str">
        <f>"29371.812"</f>
        <v>29371.812</v>
      </c>
      <c r="F80" t="str">
        <f>""</f>
        <v/>
      </c>
      <c r="G80" t="str">
        <f t="shared" si="8"/>
        <v>0.001</v>
      </c>
      <c r="H80" t="str">
        <f>"1.326"</f>
        <v>1.326</v>
      </c>
      <c r="I80" t="str">
        <f>"  94             :     4  3d7.(2D2).4s          3D   "</f>
        <v xml:space="preserve">  94             :     4  3d7.(2D2).4s          3D   </v>
      </c>
      <c r="J80" t="str">
        <f>""</f>
        <v/>
      </c>
    </row>
    <row r="81" spans="1:10">
      <c r="A81" s="1" t="str">
        <f>"3d6.4s2"</f>
        <v>3d6.4s2</v>
      </c>
      <c r="B81" t="str">
        <f>"b 1G2"</f>
        <v>b 1G2</v>
      </c>
      <c r="C81" t="str">
        <f>"4"</f>
        <v>4</v>
      </c>
      <c r="D81" t="str">
        <f>""</f>
        <v/>
      </c>
      <c r="E81" t="str">
        <f>"29798.936"</f>
        <v>29798.936</v>
      </c>
      <c r="F81" t="str">
        <f>""</f>
        <v/>
      </c>
      <c r="G81" t="str">
        <f t="shared" si="8"/>
        <v>0.001</v>
      </c>
      <c r="H81" t="str">
        <f>"0.979"</f>
        <v>0.979</v>
      </c>
      <c r="I81" t="str">
        <f>"  62             :    35  3d6.4s2               1G1  "</f>
        <v xml:space="preserve">  62             :    35  3d6.4s2               1G1  </v>
      </c>
      <c r="J81" t="str">
        <f>""</f>
        <v/>
      </c>
    </row>
    <row r="82" spans="1:10">
      <c r="A82" s="1" t="str">
        <f t="shared" ref="A82:A87" si="9">"3d6.(5D).4s.4p.(3P*)"</f>
        <v>3d6.(5D).4s.4p.(3P*)</v>
      </c>
      <c r="B82" t="str">
        <f>"z 3F*"</f>
        <v>z 3F*</v>
      </c>
      <c r="C82" t="str">
        <f>"4"</f>
        <v>4</v>
      </c>
      <c r="D82" t="str">
        <f>""</f>
        <v/>
      </c>
      <c r="E82" t="str">
        <f>"31307.245"</f>
        <v>31307.245</v>
      </c>
      <c r="F82" t="str">
        <f>""</f>
        <v/>
      </c>
      <c r="G82" t="str">
        <f t="shared" si="8"/>
        <v>0.001</v>
      </c>
      <c r="H82" t="str">
        <f>"1.250"</f>
        <v>1.250</v>
      </c>
      <c r="I82" t="str">
        <f>"  94             :     5  3d7.(4F).4p           3F*  "</f>
        <v xml:space="preserve">  94             :     5  3d7.(4F).4p           3F*  </v>
      </c>
      <c r="J82" t="str">
        <f>""</f>
        <v/>
      </c>
    </row>
    <row r="83" spans="1:10">
      <c r="A83" s="1" t="str">
        <f t="shared" si="9"/>
        <v>3d6.(5D).4s.4p.(3P*)</v>
      </c>
      <c r="B83" t="str">
        <f>"z 3F*"</f>
        <v>z 3F*</v>
      </c>
      <c r="C83" t="str">
        <f>"3"</f>
        <v>3</v>
      </c>
      <c r="D83" t="str">
        <f>""</f>
        <v/>
      </c>
      <c r="E83" t="str">
        <f>"31805.071"</f>
        <v>31805.071</v>
      </c>
      <c r="F83" t="str">
        <f>""</f>
        <v/>
      </c>
      <c r="G83" t="str">
        <f t="shared" si="8"/>
        <v>0.001</v>
      </c>
      <c r="H83" t="str">
        <f>"1.086"</f>
        <v>1.086</v>
      </c>
      <c r="I83" t="str">
        <f>"  97                                                 "</f>
        <v xml:space="preserve">  97                                                 </v>
      </c>
      <c r="J83" t="str">
        <f>""</f>
        <v/>
      </c>
    </row>
    <row r="84" spans="1:10">
      <c r="A84" s="1" t="str">
        <f t="shared" si="9"/>
        <v>3d6.(5D).4s.4p.(3P*)</v>
      </c>
      <c r="B84" t="str">
        <f>"z 3F*"</f>
        <v>z 3F*</v>
      </c>
      <c r="C84" t="str">
        <f>"2"</f>
        <v>2</v>
      </c>
      <c r="D84" t="str">
        <f>""</f>
        <v/>
      </c>
      <c r="E84" t="str">
        <f>"32133.991"</f>
        <v>32133.991</v>
      </c>
      <c r="F84" t="str">
        <f>""</f>
        <v/>
      </c>
      <c r="G84" t="str">
        <f t="shared" si="8"/>
        <v>0.001</v>
      </c>
      <c r="H84" t="str">
        <f>"0.682"</f>
        <v>0.682</v>
      </c>
      <c r="I84" t="str">
        <f>"  93             :     5  3d7.(4F).4p           3F*  "</f>
        <v xml:space="preserve">  93             :     5  3d7.(4F).4p           3F*  </v>
      </c>
      <c r="J84" t="str">
        <f>""</f>
        <v/>
      </c>
    </row>
    <row r="85" spans="1:10">
      <c r="A85" s="1" t="str">
        <f t="shared" si="9"/>
        <v>3d6.(5D).4s.4p.(3P*)</v>
      </c>
      <c r="B85" t="str">
        <f>"z 3D*"</f>
        <v>z 3D*</v>
      </c>
      <c r="C85" t="str">
        <f>"3"</f>
        <v>3</v>
      </c>
      <c r="D85" t="str">
        <f>""</f>
        <v/>
      </c>
      <c r="E85" t="str">
        <f>"31322.613"</f>
        <v>31322.613</v>
      </c>
      <c r="F85" t="str">
        <f>""</f>
        <v/>
      </c>
      <c r="G85" t="str">
        <f t="shared" si="8"/>
        <v>0.001</v>
      </c>
      <c r="H85" t="str">
        <f>"1.321"</f>
        <v>1.321</v>
      </c>
      <c r="I85" t="str">
        <f>"  90             :     8  3d7.(4F).4p           3D*  "</f>
        <v xml:space="preserve">  90             :     8  3d7.(4F).4p           3D*  </v>
      </c>
      <c r="J85" t="str">
        <f>""</f>
        <v/>
      </c>
    </row>
    <row r="86" spans="1:10">
      <c r="A86" s="1" t="str">
        <f t="shared" si="9"/>
        <v>3d6.(5D).4s.4p.(3P*)</v>
      </c>
      <c r="B86" t="str">
        <f>"z 3D*"</f>
        <v>z 3D*</v>
      </c>
      <c r="C86" t="str">
        <f>"2"</f>
        <v>2</v>
      </c>
      <c r="D86" t="str">
        <f>""</f>
        <v/>
      </c>
      <c r="E86" t="str">
        <f>"31686.351"</f>
        <v>31686.351</v>
      </c>
      <c r="F86" t="str">
        <f>""</f>
        <v/>
      </c>
      <c r="G86" t="str">
        <f t="shared" ref="G86:G105" si="10">"0.001"</f>
        <v>0.001</v>
      </c>
      <c r="H86" t="str">
        <f>"1.168"</f>
        <v>1.168</v>
      </c>
      <c r="I86" t="str">
        <f>"  90             :     8  3d7.(4F).4p           3D*  "</f>
        <v xml:space="preserve">  90             :     8  3d7.(4F).4p           3D*  </v>
      </c>
      <c r="J86" t="str">
        <f>""</f>
        <v/>
      </c>
    </row>
    <row r="87" spans="1:10">
      <c r="A87" s="1" t="str">
        <f t="shared" si="9"/>
        <v>3d6.(5D).4s.4p.(3P*)</v>
      </c>
      <c r="B87" t="str">
        <f>"z 3D*"</f>
        <v>z 3D*</v>
      </c>
      <c r="C87" t="str">
        <f>"1"</f>
        <v>1</v>
      </c>
      <c r="D87" t="str">
        <f>""</f>
        <v/>
      </c>
      <c r="E87" t="str">
        <f>"31937.325"</f>
        <v>31937.325</v>
      </c>
      <c r="F87" t="str">
        <f>""</f>
        <v/>
      </c>
      <c r="G87" t="str">
        <f t="shared" si="10"/>
        <v>0.001</v>
      </c>
      <c r="H87" t="str">
        <f>"0.513"</f>
        <v>0.513</v>
      </c>
      <c r="I87" t="str">
        <f>"  91             :     8  3d7.(4F).4p           3D*  "</f>
        <v xml:space="preserve">  91             :     8  3d7.(4F).4p           3D*  </v>
      </c>
      <c r="J87" t="str">
        <f>""</f>
        <v/>
      </c>
    </row>
    <row r="88" spans="1:10">
      <c r="A88" s="1" t="str">
        <f>"3d8"</f>
        <v>3d8</v>
      </c>
      <c r="B88" t="str">
        <f>"c 3F"</f>
        <v>c 3F</v>
      </c>
      <c r="C88" t="str">
        <f>"4"</f>
        <v>4</v>
      </c>
      <c r="D88" t="str">
        <f>""</f>
        <v/>
      </c>
      <c r="E88" t="str">
        <f>"32873.632"</f>
        <v>32873.632</v>
      </c>
      <c r="F88" t="str">
        <f>""</f>
        <v/>
      </c>
      <c r="G88" t="str">
        <f t="shared" si="10"/>
        <v>0.001</v>
      </c>
      <c r="H88" t="str">
        <f>"1.264"</f>
        <v>1.264</v>
      </c>
      <c r="I88" t="str">
        <f>"  92             :     3  3d7.(2F).4s           3F   "</f>
        <v xml:space="preserve">  92             :     3  3d7.(2F).4s           3F   </v>
      </c>
      <c r="J88" t="str">
        <f>""</f>
        <v/>
      </c>
    </row>
    <row r="89" spans="1:10">
      <c r="A89" s="1" t="str">
        <f>"3d8"</f>
        <v>3d8</v>
      </c>
      <c r="B89" t="str">
        <f>"c 3F"</f>
        <v>c 3F</v>
      </c>
      <c r="C89" t="str">
        <f>"3"</f>
        <v>3</v>
      </c>
      <c r="D89" t="str">
        <f>""</f>
        <v/>
      </c>
      <c r="E89" t="str">
        <f>"33412.717"</f>
        <v>33412.717</v>
      </c>
      <c r="F89" t="str">
        <f>""</f>
        <v/>
      </c>
      <c r="G89" t="str">
        <f t="shared" si="10"/>
        <v>0.001</v>
      </c>
      <c r="H89" t="str">
        <f>"1.066"</f>
        <v>1.066</v>
      </c>
      <c r="I89" t="str">
        <f>"  92             :     5  3d7.(2F).4s           3F   "</f>
        <v xml:space="preserve">  92             :     5  3d7.(2F).4s           3F   </v>
      </c>
      <c r="J89" t="str">
        <f>""</f>
        <v/>
      </c>
    </row>
    <row r="90" spans="1:10">
      <c r="A90" s="1" t="str">
        <f>"3d8"</f>
        <v>3d8</v>
      </c>
      <c r="B90" t="str">
        <f>"c 3F"</f>
        <v>c 3F</v>
      </c>
      <c r="C90" t="str">
        <f>"2"</f>
        <v>2</v>
      </c>
      <c r="D90" t="str">
        <f>""</f>
        <v/>
      </c>
      <c r="E90" t="str">
        <f>"33765.306"</f>
        <v>33765.306</v>
      </c>
      <c r="F90" t="str">
        <f>""</f>
        <v/>
      </c>
      <c r="G90" t="str">
        <f t="shared" si="10"/>
        <v>0.001</v>
      </c>
      <c r="H90" t="str">
        <f>"0.677"</f>
        <v>0.677</v>
      </c>
      <c r="I90" t="str">
        <f>"  86             :     6  3d7.(2F).4s           3F   "</f>
        <v xml:space="preserve">  86             :     6  3d7.(2F).4s           3F   </v>
      </c>
      <c r="J90" t="str">
        <f>""</f>
        <v/>
      </c>
    </row>
    <row r="91" spans="1:10">
      <c r="A91" s="1" t="str">
        <f t="shared" ref="A91:A100" si="11">"3d7.(4F).4p"</f>
        <v>3d7.(4F).4p</v>
      </c>
      <c r="B91" t="str">
        <f>"y 5D*"</f>
        <v>y 5D*</v>
      </c>
      <c r="C91" t="str">
        <f>"4"</f>
        <v>4</v>
      </c>
      <c r="D91" t="str">
        <f>""</f>
        <v/>
      </c>
      <c r="E91" t="str">
        <f>"33095.941"</f>
        <v>33095.941</v>
      </c>
      <c r="F91" t="str">
        <f>""</f>
        <v/>
      </c>
      <c r="G91" t="str">
        <f t="shared" si="10"/>
        <v>0.001</v>
      </c>
      <c r="H91" t="str">
        <f>"1.496"</f>
        <v>1.496</v>
      </c>
      <c r="I91" t="str">
        <f>"  61             :    34  3d6.(5D).4s.4p.(1P*)  5D*  "</f>
        <v xml:space="preserve">  61             :    34  3d6.(5D).4s.4p.(1P*)  5D*  </v>
      </c>
      <c r="J91" t="str">
        <f>""</f>
        <v/>
      </c>
    </row>
    <row r="92" spans="1:10">
      <c r="A92" s="1" t="str">
        <f t="shared" si="11"/>
        <v>3d7.(4F).4p</v>
      </c>
      <c r="B92" t="str">
        <f>"y 5D*"</f>
        <v>y 5D*</v>
      </c>
      <c r="C92" t="str">
        <f>"3"</f>
        <v>3</v>
      </c>
      <c r="D92" t="str">
        <f>""</f>
        <v/>
      </c>
      <c r="E92" t="str">
        <f>"33507.123"</f>
        <v>33507.123</v>
      </c>
      <c r="F92" t="str">
        <f>""</f>
        <v/>
      </c>
      <c r="G92" t="str">
        <f t="shared" si="10"/>
        <v>0.001</v>
      </c>
      <c r="H92" t="str">
        <f>"1.492"</f>
        <v>1.492</v>
      </c>
      <c r="I92" t="str">
        <f>"  60             :    34  3d6.(5D).4s.4p.(1P*)  5D*  "</f>
        <v xml:space="preserve">  60             :    34  3d6.(5D).4s.4p.(1P*)  5D*  </v>
      </c>
      <c r="J92" t="str">
        <f>""</f>
        <v/>
      </c>
    </row>
    <row r="93" spans="1:10">
      <c r="A93" s="1" t="str">
        <f t="shared" si="11"/>
        <v>3d7.(4F).4p</v>
      </c>
      <c r="B93" t="str">
        <f>"y 5D*"</f>
        <v>y 5D*</v>
      </c>
      <c r="C93" t="str">
        <f>"2"</f>
        <v>2</v>
      </c>
      <c r="D93" t="str">
        <f>""</f>
        <v/>
      </c>
      <c r="E93" t="str">
        <f>"33801.572"</f>
        <v>33801.572</v>
      </c>
      <c r="F93" t="str">
        <f>""</f>
        <v/>
      </c>
      <c r="G93" t="str">
        <f t="shared" si="10"/>
        <v>0.001</v>
      </c>
      <c r="H93" t="str">
        <f>"1.495"</f>
        <v>1.495</v>
      </c>
      <c r="I93" t="str">
        <f>"  56             :    34  3d6.(5D).4s.4p.(1P*)  5D*  "</f>
        <v xml:space="preserve">  56             :    34  3d6.(5D).4s.4p.(1P*)  5D*  </v>
      </c>
      <c r="J93" t="str">
        <f>""</f>
        <v/>
      </c>
    </row>
    <row r="94" spans="1:10">
      <c r="A94" s="1" t="str">
        <f t="shared" si="11"/>
        <v>3d7.(4F).4p</v>
      </c>
      <c r="B94" t="str">
        <f>"y 5D*"</f>
        <v>y 5D*</v>
      </c>
      <c r="C94" t="str">
        <f>"1"</f>
        <v>1</v>
      </c>
      <c r="D94" t="str">
        <f>""</f>
        <v/>
      </c>
      <c r="E94" t="str">
        <f>"34017.103"</f>
        <v>34017.103</v>
      </c>
      <c r="F94" t="str">
        <f>""</f>
        <v/>
      </c>
      <c r="G94" t="str">
        <f t="shared" si="10"/>
        <v>0.001</v>
      </c>
      <c r="H94" t="str">
        <f>"1.492"</f>
        <v>1.492</v>
      </c>
      <c r="I94" t="str">
        <f>"  47             :    30  3d6.(5D).4s.4p.(3P*)  3P*  "</f>
        <v xml:space="preserve">  47             :    30  3d6.(5D).4s.4p.(3P*)  3P*  </v>
      </c>
      <c r="J94" t="str">
        <f>""</f>
        <v/>
      </c>
    </row>
    <row r="95" spans="1:10">
      <c r="A95" s="1" t="str">
        <f t="shared" si="11"/>
        <v>3d7.(4F).4p</v>
      </c>
      <c r="B95" t="str">
        <f>"y 5D*"</f>
        <v>y 5D*</v>
      </c>
      <c r="C95" t="str">
        <f>"0"</f>
        <v>0</v>
      </c>
      <c r="D95" t="str">
        <f>""</f>
        <v/>
      </c>
      <c r="E95" t="str">
        <f>"34121.603"</f>
        <v>34121.603</v>
      </c>
      <c r="F95" t="str">
        <f>""</f>
        <v/>
      </c>
      <c r="G95" t="str">
        <f t="shared" si="10"/>
        <v>0.001</v>
      </c>
      <c r="H95" t="str">
        <f>""</f>
        <v/>
      </c>
      <c r="I95" t="str">
        <f>"  42             :    28  3d6.(5D).4s.4p.(3P*)  3P*  "</f>
        <v xml:space="preserve">  42             :    28  3d6.(5D).4s.4p.(3P*)  3P*  </v>
      </c>
      <c r="J95" t="str">
        <f>""</f>
        <v/>
      </c>
    </row>
    <row r="96" spans="1:10">
      <c r="A96" s="1" t="str">
        <f t="shared" si="11"/>
        <v>3d7.(4F).4p</v>
      </c>
      <c r="B96" t="str">
        <f>"y 5F*"</f>
        <v>y 5F*</v>
      </c>
      <c r="C96" t="str">
        <f>"5"</f>
        <v>5</v>
      </c>
      <c r="D96" t="str">
        <f>""</f>
        <v/>
      </c>
      <c r="E96" t="str">
        <f>"33695.397"</f>
        <v>33695.397</v>
      </c>
      <c r="F96" t="str">
        <f>""</f>
        <v/>
      </c>
      <c r="G96" t="str">
        <f t="shared" si="10"/>
        <v>0.001</v>
      </c>
      <c r="H96" t="str">
        <f>"1.417"</f>
        <v>1.417</v>
      </c>
      <c r="I96" t="str">
        <f>"  84             :    11  3d6.(5D).4s.4p.(1P*)  5F*  "</f>
        <v xml:space="preserve">  84             :    11  3d6.(5D).4s.4p.(1P*)  5F*  </v>
      </c>
      <c r="J96" t="str">
        <f>""</f>
        <v/>
      </c>
    </row>
    <row r="97" spans="1:10">
      <c r="A97" s="1" t="str">
        <f t="shared" si="11"/>
        <v>3d7.(4F).4p</v>
      </c>
      <c r="B97" t="str">
        <f>"y 5F*"</f>
        <v>y 5F*</v>
      </c>
      <c r="C97" t="str">
        <f>"4"</f>
        <v>4</v>
      </c>
      <c r="D97" t="str">
        <f>""</f>
        <v/>
      </c>
      <c r="E97" t="str">
        <f>"34039.516"</f>
        <v>34039.516</v>
      </c>
      <c r="F97" t="str">
        <f>""</f>
        <v/>
      </c>
      <c r="G97" t="str">
        <f t="shared" si="10"/>
        <v>0.001</v>
      </c>
      <c r="H97" t="str">
        <f>"1.344"</f>
        <v>1.344</v>
      </c>
      <c r="I97" t="str">
        <f>"  81             :    12  3d6.(5D).4s.4p.(1P*)  5F*  "</f>
        <v xml:space="preserve">  81             :    12  3d6.(5D).4s.4p.(1P*)  5F*  </v>
      </c>
      <c r="J97" t="str">
        <f>""</f>
        <v/>
      </c>
    </row>
    <row r="98" spans="1:10">
      <c r="A98" s="1" t="str">
        <f t="shared" si="11"/>
        <v>3d7.(4F).4p</v>
      </c>
      <c r="B98" t="str">
        <f>"y 5F*"</f>
        <v>y 5F*</v>
      </c>
      <c r="C98" t="str">
        <f>"3"</f>
        <v>3</v>
      </c>
      <c r="D98" t="str">
        <f>""</f>
        <v/>
      </c>
      <c r="E98" t="str">
        <f>"34328.752"</f>
        <v>34328.752</v>
      </c>
      <c r="F98" t="str">
        <f>""</f>
        <v/>
      </c>
      <c r="G98" t="str">
        <f t="shared" si="10"/>
        <v>0.001</v>
      </c>
      <c r="H98" t="str">
        <f>"1.244"</f>
        <v>1.244</v>
      </c>
      <c r="I98" t="str">
        <f>"  81             :    11  3d6.(5D).4s.4p.(1P*)  5F*  "</f>
        <v xml:space="preserve">  81             :    11  3d6.(5D).4s.4p.(1P*)  5F*  </v>
      </c>
      <c r="J98" t="str">
        <f>""</f>
        <v/>
      </c>
    </row>
    <row r="99" spans="1:10">
      <c r="A99" s="1" t="str">
        <f t="shared" si="11"/>
        <v>3d7.(4F).4p</v>
      </c>
      <c r="B99" t="str">
        <f>"y 5F*"</f>
        <v>y 5F*</v>
      </c>
      <c r="C99" t="str">
        <f>"2"</f>
        <v>2</v>
      </c>
      <c r="D99" t="str">
        <f>""</f>
        <v/>
      </c>
      <c r="E99" t="str">
        <f>"34547.211"</f>
        <v>34547.211</v>
      </c>
      <c r="F99" t="str">
        <f>""</f>
        <v/>
      </c>
      <c r="G99" t="str">
        <f t="shared" si="10"/>
        <v>0.001</v>
      </c>
      <c r="H99" t="str">
        <f>"0.998"</f>
        <v>0.998</v>
      </c>
      <c r="I99" t="str">
        <f>"  82             :    13  3d6.(5D).4s.4p.(1P*)  5F*  "</f>
        <v xml:space="preserve">  82             :    13  3d6.(5D).4s.4p.(1P*)  5F*  </v>
      </c>
      <c r="J99" t="str">
        <f>""</f>
        <v/>
      </c>
    </row>
    <row r="100" spans="1:10">
      <c r="A100" s="1" t="str">
        <f t="shared" si="11"/>
        <v>3d7.(4F).4p</v>
      </c>
      <c r="B100" t="str">
        <f>"y 5F*"</f>
        <v>y 5F*</v>
      </c>
      <c r="C100" t="str">
        <f>"1"</f>
        <v>1</v>
      </c>
      <c r="D100" t="str">
        <f>""</f>
        <v/>
      </c>
      <c r="E100" t="str">
        <f>"34692.148"</f>
        <v>34692.148</v>
      </c>
      <c r="F100" t="str">
        <f>""</f>
        <v/>
      </c>
      <c r="G100" t="str">
        <f t="shared" si="10"/>
        <v>0.001</v>
      </c>
      <c r="H100" t="str">
        <f>"-0.016"</f>
        <v>-0.016</v>
      </c>
      <c r="I100" t="str">
        <f>"  84             :    12  3d6.(5D).4s.4p.(1P*)  5F*  "</f>
        <v xml:space="preserve">  84             :    12  3d6.(5D).4s.4p.(1P*)  5F*  </v>
      </c>
      <c r="J100" t="str">
        <f>""</f>
        <v/>
      </c>
    </row>
    <row r="101" spans="1:10">
      <c r="A101" s="1" t="str">
        <f>"3d6.(5D).4s.4p.(3P*)"</f>
        <v>3d6.(5D).4s.4p.(3P*)</v>
      </c>
      <c r="B101" t="str">
        <f>"z 3P*"</f>
        <v>z 3P*</v>
      </c>
      <c r="C101" t="str">
        <f>"2"</f>
        <v>2</v>
      </c>
      <c r="D101" t="str">
        <f>""</f>
        <v/>
      </c>
      <c r="E101" t="str">
        <f>"33946.933"</f>
        <v>33946.933</v>
      </c>
      <c r="F101" t="str">
        <f>""</f>
        <v/>
      </c>
      <c r="G101" t="str">
        <f t="shared" si="10"/>
        <v>0.001</v>
      </c>
      <c r="H101" t="str">
        <f>"1.493"</f>
        <v>1.493</v>
      </c>
      <c r="I101" t="str">
        <f>"  91             :     4  3d7.(4F).4p           5D*  "</f>
        <v xml:space="preserve">  91             :     4  3d7.(4F).4p           5D*  </v>
      </c>
      <c r="J101" t="str">
        <f>""</f>
        <v/>
      </c>
    </row>
    <row r="102" spans="1:10">
      <c r="A102" s="1" t="str">
        <f>"3d6.(5D).4s.4p.(3P*)"</f>
        <v>3d6.(5D).4s.4p.(3P*)</v>
      </c>
      <c r="B102" t="str">
        <f>"z 3P*"</f>
        <v>z 3P*</v>
      </c>
      <c r="C102" t="str">
        <f>"1"</f>
        <v>1</v>
      </c>
      <c r="D102" t="str">
        <f>""</f>
        <v/>
      </c>
      <c r="E102" t="str">
        <f>"34362.873"</f>
        <v>34362.873</v>
      </c>
      <c r="F102" t="str">
        <f>""</f>
        <v/>
      </c>
      <c r="G102" t="str">
        <f t="shared" si="10"/>
        <v>0.001</v>
      </c>
      <c r="H102" t="str">
        <f>"1.496"</f>
        <v>1.496</v>
      </c>
      <c r="I102" t="str">
        <f>"  50             :    30  3d7.(4F).4p           5D*  "</f>
        <v xml:space="preserve">  50             :    30  3d7.(4F).4p           5D*  </v>
      </c>
      <c r="J102" t="str">
        <f>""</f>
        <v/>
      </c>
    </row>
    <row r="103" spans="1:10">
      <c r="A103" s="1" t="str">
        <f>"3d6.(5D).4s.4p.(3P*)"</f>
        <v>3d6.(5D).4s.4p.(3P*)</v>
      </c>
      <c r="B103" t="str">
        <f>"z 3P*"</f>
        <v>z 3P*</v>
      </c>
      <c r="C103" t="str">
        <f>"0"</f>
        <v>0</v>
      </c>
      <c r="D103" t="str">
        <f>""</f>
        <v/>
      </c>
      <c r="E103" t="str">
        <f>"34555.597"</f>
        <v>34555.597</v>
      </c>
      <c r="F103" t="str">
        <f>""</f>
        <v/>
      </c>
      <c r="G103" t="str">
        <f t="shared" si="10"/>
        <v>0.001</v>
      </c>
      <c r="H103" t="str">
        <f>""</f>
        <v/>
      </c>
      <c r="I103" t="str">
        <f>"  69             :    18  3d7.(4F).4p           5D*  "</f>
        <v xml:space="preserve">  69             :    18  3d7.(4F).4p           5D*  </v>
      </c>
      <c r="J103" t="str">
        <f>""</f>
        <v/>
      </c>
    </row>
    <row r="104" spans="1:10">
      <c r="A104" s="1" t="str">
        <f>"3d6.4s2"</f>
        <v>3d6.4s2</v>
      </c>
      <c r="B104" t="str">
        <f>"b 1D2"</f>
        <v>b 1D2</v>
      </c>
      <c r="C104" t="str">
        <f>"2"</f>
        <v>2</v>
      </c>
      <c r="D104" t="str">
        <f>""</f>
        <v/>
      </c>
      <c r="E104" t="str">
        <f>"34636.792"</f>
        <v>34636.792</v>
      </c>
      <c r="F104" t="str">
        <f>""</f>
        <v/>
      </c>
      <c r="G104" t="str">
        <f t="shared" si="10"/>
        <v>0.001</v>
      </c>
      <c r="H104" t="str">
        <f>""</f>
        <v/>
      </c>
      <c r="I104" t="str">
        <f>"  67             :    20  3d6.4s2               1D1  "</f>
        <v xml:space="preserve">  67             :    20  3d6.4s2               1D1  </v>
      </c>
      <c r="J104" t="str">
        <f>""</f>
        <v/>
      </c>
    </row>
    <row r="105" spans="1:10">
      <c r="A105" s="1" t="str">
        <f t="shared" ref="A105:A115" si="12">"3d7.(4F).4p"</f>
        <v>3d7.(4F).4p</v>
      </c>
      <c r="B105" t="str">
        <f>"z 5G*"</f>
        <v>z 5G*</v>
      </c>
      <c r="C105" t="str">
        <f>"5"</f>
        <v>5</v>
      </c>
      <c r="D105" t="str">
        <f>""</f>
        <v/>
      </c>
      <c r="E105" t="str">
        <f>"34782.421"</f>
        <v>34782.421</v>
      </c>
      <c r="F105" t="str">
        <f>""</f>
        <v/>
      </c>
      <c r="G105" t="str">
        <f t="shared" si="10"/>
        <v>0.001</v>
      </c>
      <c r="H105" t="str">
        <f>"1.218"</f>
        <v>1.218</v>
      </c>
      <c r="I105" t="str">
        <f>"  58             :    35  3d7.(4F).4p           3G*  "</f>
        <v xml:space="preserve">  58             :    35  3d7.(4F).4p           3G*  </v>
      </c>
      <c r="J105" t="str">
        <f>""</f>
        <v/>
      </c>
    </row>
    <row r="106" spans="1:10">
      <c r="A106" s="1" t="str">
        <f t="shared" si="12"/>
        <v>3d7.(4F).4p</v>
      </c>
      <c r="B106" t="str">
        <f>"z 5G*"</f>
        <v>z 5G*</v>
      </c>
      <c r="C106" t="str">
        <f>"6"</f>
        <v>6</v>
      </c>
      <c r="D106" t="str">
        <f>""</f>
        <v/>
      </c>
      <c r="E106" t="str">
        <f>"34843.957"</f>
        <v>34843.957</v>
      </c>
      <c r="F106" t="str">
        <f>""</f>
        <v/>
      </c>
      <c r="G106" t="str">
        <f>"0.002"</f>
        <v>0.002</v>
      </c>
      <c r="H106" t="str">
        <f>"1.332"</f>
        <v>1.332</v>
      </c>
      <c r="I106" t="str">
        <f>"  94             :     4  3d6.(3H).4s.4p.(3P*)  5G*  "</f>
        <v xml:space="preserve">  94             :     4  3d6.(3H).4s.4p.(3P*)  5G*  </v>
      </c>
      <c r="J106" t="str">
        <f>""</f>
        <v/>
      </c>
    </row>
    <row r="107" spans="1:10">
      <c r="A107" s="1" t="str">
        <f t="shared" si="12"/>
        <v>3d7.(4F).4p</v>
      </c>
      <c r="B107" t="str">
        <f>"z 5G*"</f>
        <v>z 5G*</v>
      </c>
      <c r="C107" t="str">
        <f>"4"</f>
        <v>4</v>
      </c>
      <c r="D107" t="str">
        <f>""</f>
        <v/>
      </c>
      <c r="E107" t="str">
        <f>"35257.324"</f>
        <v>35257.324</v>
      </c>
      <c r="F107" t="str">
        <f>""</f>
        <v/>
      </c>
      <c r="G107" t="str">
        <f t="shared" ref="G107:G142" si="13">"0.001"</f>
        <v>0.001</v>
      </c>
      <c r="H107" t="str">
        <f>"1.103"</f>
        <v>1.103</v>
      </c>
      <c r="I107" t="str">
        <f>"  75             :    16  3d7.(4F).4p           3G*  "</f>
        <v xml:space="preserve">  75             :    16  3d7.(4F).4p           3G*  </v>
      </c>
      <c r="J107" t="str">
        <f>""</f>
        <v/>
      </c>
    </row>
    <row r="108" spans="1:10">
      <c r="A108" s="1" t="str">
        <f t="shared" si="12"/>
        <v>3d7.(4F).4p</v>
      </c>
      <c r="B108" t="str">
        <f>"z 5G*"</f>
        <v>z 5G*</v>
      </c>
      <c r="C108" t="str">
        <f>"3"</f>
        <v>3</v>
      </c>
      <c r="D108" t="str">
        <f>""</f>
        <v/>
      </c>
      <c r="E108" t="str">
        <f>"35611.625"</f>
        <v>35611.625</v>
      </c>
      <c r="F108" t="str">
        <f>""</f>
        <v/>
      </c>
      <c r="G108" t="str">
        <f t="shared" si="13"/>
        <v>0.001</v>
      </c>
      <c r="H108" t="str">
        <f>"0.887"</f>
        <v>0.887</v>
      </c>
      <c r="I108" t="str">
        <f>"  86             :     6  3d7.(4F).4p           3G*  "</f>
        <v xml:space="preserve">  86             :     6  3d7.(4F).4p           3G*  </v>
      </c>
      <c r="J108" t="str">
        <f>""</f>
        <v/>
      </c>
    </row>
    <row r="109" spans="1:10">
      <c r="A109" s="1" t="str">
        <f t="shared" si="12"/>
        <v>3d7.(4F).4p</v>
      </c>
      <c r="B109" t="str">
        <f>"z 5G*"</f>
        <v>z 5G*</v>
      </c>
      <c r="C109" t="str">
        <f>"2"</f>
        <v>2</v>
      </c>
      <c r="D109" t="str">
        <f>""</f>
        <v/>
      </c>
      <c r="E109" t="str">
        <f>"35856.402"</f>
        <v>35856.402</v>
      </c>
      <c r="F109" t="str">
        <f>""</f>
        <v/>
      </c>
      <c r="G109" t="str">
        <f t="shared" si="13"/>
        <v>0.001</v>
      </c>
      <c r="H109" t="str">
        <f>"0.335"</f>
        <v>0.335</v>
      </c>
      <c r="I109" t="str">
        <f>"  92             :     5  3d6.(3H).4s.4p.(3P*)  5G*  "</f>
        <v xml:space="preserve">  92             :     5  3d6.(3H).4s.4p.(3P*)  5G*  </v>
      </c>
      <c r="J109" t="str">
        <f>""</f>
        <v/>
      </c>
    </row>
    <row r="110" spans="1:10">
      <c r="A110" s="1" t="str">
        <f t="shared" si="12"/>
        <v>3d7.(4F).4p</v>
      </c>
      <c r="B110" t="str">
        <f>"z 3G*"</f>
        <v>z 3G*</v>
      </c>
      <c r="C110" t="str">
        <f>"5"</f>
        <v>5</v>
      </c>
      <c r="D110" t="str">
        <f>""</f>
        <v/>
      </c>
      <c r="E110" t="str">
        <f>"35379.208"</f>
        <v>35379.208</v>
      </c>
      <c r="F110" t="str">
        <f>""</f>
        <v/>
      </c>
      <c r="G110" t="str">
        <f t="shared" si="13"/>
        <v>0.001</v>
      </c>
      <c r="H110" t="str">
        <f>"1.248"</f>
        <v>1.248</v>
      </c>
      <c r="I110" t="str">
        <f>"  61             :    33  3d7.(4F).4p           5G*  "</f>
        <v xml:space="preserve">  61             :    33  3d7.(4F).4p           5G*  </v>
      </c>
      <c r="J110" t="str">
        <f>""</f>
        <v/>
      </c>
    </row>
    <row r="111" spans="1:10">
      <c r="A111" s="1" t="str">
        <f t="shared" si="12"/>
        <v>3d7.(4F).4p</v>
      </c>
      <c r="B111" t="str">
        <f>"z 3G*"</f>
        <v>z 3G*</v>
      </c>
      <c r="C111" t="str">
        <f>"4"</f>
        <v>4</v>
      </c>
      <c r="D111" t="str">
        <f>""</f>
        <v/>
      </c>
      <c r="E111" t="str">
        <f>"35767.564"</f>
        <v>35767.564</v>
      </c>
      <c r="F111" t="str">
        <f>""</f>
        <v/>
      </c>
      <c r="G111" t="str">
        <f t="shared" si="13"/>
        <v>0.001</v>
      </c>
      <c r="H111" t="str">
        <f>"1.100"</f>
        <v>1.100</v>
      </c>
      <c r="I111" t="str">
        <f>"  78             :    16  3d7.(4F).4p           5G*  "</f>
        <v xml:space="preserve">  78             :    16  3d7.(4F).4p           5G*  </v>
      </c>
      <c r="J111" t="str">
        <f>""</f>
        <v/>
      </c>
    </row>
    <row r="112" spans="1:10">
      <c r="A112" s="1" t="str">
        <f t="shared" si="12"/>
        <v>3d7.(4F).4p</v>
      </c>
      <c r="B112" t="str">
        <f>"z 3G*"</f>
        <v>z 3G*</v>
      </c>
      <c r="C112" t="str">
        <f>"3"</f>
        <v>3</v>
      </c>
      <c r="D112" t="str">
        <f>""</f>
        <v/>
      </c>
      <c r="E112" t="str">
        <f>"36079.372"</f>
        <v>36079.372</v>
      </c>
      <c r="F112" t="str">
        <f>""</f>
        <v/>
      </c>
      <c r="G112" t="str">
        <f t="shared" si="13"/>
        <v>0.001</v>
      </c>
      <c r="H112" t="str">
        <f>"0.791"</f>
        <v>0.791</v>
      </c>
      <c r="I112" t="str">
        <f>"  89             :     6  3d7.(4F).4p           5G*  "</f>
        <v xml:space="preserve">  89             :     6  3d7.(4F).4p           5G*  </v>
      </c>
      <c r="J112" t="str">
        <f>""</f>
        <v/>
      </c>
    </row>
    <row r="113" spans="1:10">
      <c r="A113" s="1" t="str">
        <f t="shared" si="12"/>
        <v>3d7.(4F).4p</v>
      </c>
      <c r="B113" t="str">
        <f>"y 3F*"</f>
        <v>y 3F*</v>
      </c>
      <c r="C113" t="str">
        <f>"4"</f>
        <v>4</v>
      </c>
      <c r="D113" t="str">
        <f>""</f>
        <v/>
      </c>
      <c r="E113" t="str">
        <f>"36686.176"</f>
        <v>36686.176</v>
      </c>
      <c r="F113" t="str">
        <f>""</f>
        <v/>
      </c>
      <c r="G113" t="str">
        <f t="shared" si="13"/>
        <v>0.001</v>
      </c>
      <c r="H113" t="str">
        <f>"1.246"</f>
        <v>1.246</v>
      </c>
      <c r="I113" t="str">
        <f>"  86             :     5  3d6.(5D).4s.4p.(3P*)  3F*  "</f>
        <v xml:space="preserve">  86             :     5  3d6.(5D).4s.4p.(3P*)  3F*  </v>
      </c>
      <c r="J113" t="str">
        <f>""</f>
        <v/>
      </c>
    </row>
    <row r="114" spans="1:10">
      <c r="A114" s="1" t="str">
        <f t="shared" si="12"/>
        <v>3d7.(4F).4p</v>
      </c>
      <c r="B114" t="str">
        <f>"y 3F*"</f>
        <v>y 3F*</v>
      </c>
      <c r="C114" t="str">
        <f>"3"</f>
        <v>3</v>
      </c>
      <c r="D114" t="str">
        <f>""</f>
        <v/>
      </c>
      <c r="E114" t="str">
        <f>"37162.746"</f>
        <v>37162.746</v>
      </c>
      <c r="F114" t="str">
        <f>""</f>
        <v/>
      </c>
      <c r="G114" t="str">
        <f t="shared" si="13"/>
        <v>0.001</v>
      </c>
      <c r="H114" t="str">
        <f>"1.086"</f>
        <v>1.086</v>
      </c>
      <c r="I114" t="str">
        <f>"  84             :     5  3d6.(5D).4s.4p.(3P*)  3F*  "</f>
        <v xml:space="preserve">  84             :     5  3d6.(5D).4s.4p.(3P*)  3F*  </v>
      </c>
      <c r="J114" t="str">
        <f>""</f>
        <v/>
      </c>
    </row>
    <row r="115" spans="1:10">
      <c r="A115" s="1" t="str">
        <f t="shared" si="12"/>
        <v>3d7.(4F).4p</v>
      </c>
      <c r="B115" t="str">
        <f>"y 3F*"</f>
        <v>y 3F*</v>
      </c>
      <c r="C115" t="str">
        <f>"2"</f>
        <v>2</v>
      </c>
      <c r="D115" t="str">
        <f>""</f>
        <v/>
      </c>
      <c r="E115" t="str">
        <f>"37521.161"</f>
        <v>37521.161</v>
      </c>
      <c r="F115" t="str">
        <f>""</f>
        <v/>
      </c>
      <c r="G115" t="str">
        <f t="shared" si="13"/>
        <v>0.001</v>
      </c>
      <c r="H115" t="str">
        <f>"0.688"</f>
        <v>0.688</v>
      </c>
      <c r="I115" t="str">
        <f>"  87             :     5  3d6.(5D).4s.4p.(3P*)  3F*  "</f>
        <v xml:space="preserve">  87             :     5  3d6.(5D).4s.4p.(3P*)  3F*  </v>
      </c>
      <c r="J115" t="str">
        <f>""</f>
        <v/>
      </c>
    </row>
    <row r="116" spans="1:10">
      <c r="A116" s="1" t="str">
        <f>"3d6.(5D).4s.4p.(1P*)"</f>
        <v>3d6.(5D).4s.4p.(1P*)</v>
      </c>
      <c r="B116" t="str">
        <f>"y 5P*"</f>
        <v>y 5P*</v>
      </c>
      <c r="C116" t="str">
        <f>"3"</f>
        <v>3</v>
      </c>
      <c r="D116" t="str">
        <f>""</f>
        <v/>
      </c>
      <c r="E116" t="str">
        <f>"36766.966"</f>
        <v>36766.966</v>
      </c>
      <c r="F116" t="str">
        <f>""</f>
        <v/>
      </c>
      <c r="G116" t="str">
        <f t="shared" si="13"/>
        <v>0.001</v>
      </c>
      <c r="H116" t="str">
        <f>"1.661"</f>
        <v>1.661</v>
      </c>
      <c r="I116" t="str">
        <f>"  60             :    34  3d5.(6S).4s2.4p       5P*  "</f>
        <v xml:space="preserve">  60             :    34  3d5.(6S).4s2.4p       5P*  </v>
      </c>
      <c r="J116" t="str">
        <f>""</f>
        <v/>
      </c>
    </row>
    <row r="117" spans="1:10">
      <c r="A117" s="1" t="str">
        <f>"3d6.(5D).4s.4p.(1P*)"</f>
        <v>3d6.(5D).4s.4p.(1P*)</v>
      </c>
      <c r="B117" t="str">
        <f>"y 5P*"</f>
        <v>y 5P*</v>
      </c>
      <c r="C117" t="str">
        <f>"2"</f>
        <v>2</v>
      </c>
      <c r="D117" t="str">
        <f>""</f>
        <v/>
      </c>
      <c r="E117" t="str">
        <f>"37157.566"</f>
        <v>37157.566</v>
      </c>
      <c r="F117" t="str">
        <f>""</f>
        <v/>
      </c>
      <c r="G117" t="str">
        <f t="shared" si="13"/>
        <v>0.001</v>
      </c>
      <c r="H117" t="str">
        <f>"1.836"</f>
        <v>1.836</v>
      </c>
      <c r="I117" t="str">
        <f>"  60             :    35  3d5.(6S).4s2.4p       5P*  "</f>
        <v xml:space="preserve">  60             :    35  3d5.(6S).4s2.4p       5P*  </v>
      </c>
      <c r="J117" t="str">
        <f>""</f>
        <v/>
      </c>
    </row>
    <row r="118" spans="1:10">
      <c r="A118" s="1" t="str">
        <f>"3d6.(5D).4s.4p.(1P*)"</f>
        <v>3d6.(5D).4s.4p.(1P*)</v>
      </c>
      <c r="B118" t="str">
        <f>"y 5P*"</f>
        <v>y 5P*</v>
      </c>
      <c r="C118" t="str">
        <f>"1"</f>
        <v>1</v>
      </c>
      <c r="D118" t="str">
        <f>""</f>
        <v/>
      </c>
      <c r="E118" t="str">
        <f>"37409.555"</f>
        <v>37409.555</v>
      </c>
      <c r="F118" t="str">
        <f>""</f>
        <v/>
      </c>
      <c r="G118" t="str">
        <f t="shared" si="13"/>
        <v>0.001</v>
      </c>
      <c r="H118" t="str">
        <f>"2.502"</f>
        <v>2.502</v>
      </c>
      <c r="I118" t="str">
        <f>"  59             :    36  3d5.(6S).4s2.4p       5P*  "</f>
        <v xml:space="preserve">  59             :    36  3d5.(6S).4s2.4p       5P*  </v>
      </c>
      <c r="J118" t="str">
        <f>""</f>
        <v/>
      </c>
    </row>
    <row r="119" spans="1:10">
      <c r="A119" s="1" t="str">
        <f>"3d7.(2F).4s"</f>
        <v>3d7.(2F).4s</v>
      </c>
      <c r="B119" t="str">
        <f>"d 3F"</f>
        <v>d 3F</v>
      </c>
      <c r="C119" t="str">
        <f>"2"</f>
        <v>2</v>
      </c>
      <c r="D119" t="str">
        <f>""</f>
        <v/>
      </c>
      <c r="E119" t="str">
        <f>"36940.590"</f>
        <v>36940.590</v>
      </c>
      <c r="F119" t="str">
        <f>""</f>
        <v/>
      </c>
      <c r="G119" t="str">
        <f t="shared" si="13"/>
        <v>0.001</v>
      </c>
      <c r="H119" t="str">
        <f>""</f>
        <v/>
      </c>
      <c r="I119" t="str">
        <f>"  92             :     6  3d8                   3F   "</f>
        <v xml:space="preserve">  92             :     6  3d8                   3F   </v>
      </c>
      <c r="J119" t="str">
        <f>""</f>
        <v/>
      </c>
    </row>
    <row r="120" spans="1:10">
      <c r="A120" s="1" t="str">
        <f>"3d7.(2F).4s"</f>
        <v>3d7.(2F).4s</v>
      </c>
      <c r="B120" t="str">
        <f>"d 3F"</f>
        <v>d 3F</v>
      </c>
      <c r="C120" t="str">
        <f>"3"</f>
        <v>3</v>
      </c>
      <c r="D120" t="str">
        <f>""</f>
        <v/>
      </c>
      <c r="E120" t="str">
        <f>"36975.588"</f>
        <v>36975.588</v>
      </c>
      <c r="F120" t="str">
        <f>""</f>
        <v/>
      </c>
      <c r="G120" t="str">
        <f t="shared" si="13"/>
        <v>0.001</v>
      </c>
      <c r="H120" t="str">
        <f>""</f>
        <v/>
      </c>
      <c r="I120" t="str">
        <f>"  94             :     5  3d8                   3F   "</f>
        <v xml:space="preserve">  94             :     5  3d8                   3F   </v>
      </c>
      <c r="J120" t="str">
        <f>""</f>
        <v/>
      </c>
    </row>
    <row r="121" spans="1:10">
      <c r="A121" s="1" t="str">
        <f>"3d7.(2F).4s"</f>
        <v>3d7.(2F).4s</v>
      </c>
      <c r="B121" t="str">
        <f>"d 3F"</f>
        <v>d 3F</v>
      </c>
      <c r="C121" t="str">
        <f>"4"</f>
        <v>4</v>
      </c>
      <c r="D121" t="str">
        <f>""</f>
        <v/>
      </c>
      <c r="E121" t="str">
        <f>"37045.934"</f>
        <v>37045.934</v>
      </c>
      <c r="F121" t="str">
        <f>""</f>
        <v/>
      </c>
      <c r="G121" t="str">
        <f t="shared" si="13"/>
        <v>0.001</v>
      </c>
      <c r="H121" t="str">
        <f>""</f>
        <v/>
      </c>
      <c r="I121" t="str">
        <f>"  96             :     3  3d8                   3F   "</f>
        <v xml:space="preserve">  96             :     3  3d8                   3F   </v>
      </c>
      <c r="J121" t="str">
        <f>""</f>
        <v/>
      </c>
    </row>
    <row r="122" spans="1:10">
      <c r="A122" s="1" t="str">
        <f>"3d7.(4F).4p"</f>
        <v>3d7.(4F).4p</v>
      </c>
      <c r="B122" t="str">
        <f>"y 3D*"</f>
        <v>y 3D*</v>
      </c>
      <c r="C122" t="str">
        <f>"3"</f>
        <v>3</v>
      </c>
      <c r="D122" t="str">
        <f>""</f>
        <v/>
      </c>
      <c r="E122" t="str">
        <f>"38175.355"</f>
        <v>38175.355</v>
      </c>
      <c r="F122" t="str">
        <f>""</f>
        <v/>
      </c>
      <c r="G122" t="str">
        <f t="shared" si="13"/>
        <v>0.001</v>
      </c>
      <c r="H122" t="str">
        <f>"1.324"</f>
        <v>1.324</v>
      </c>
      <c r="I122" t="str">
        <f>"  84             :     8  3d6.(5D).4s.4p.(3P*)  3D*  "</f>
        <v xml:space="preserve">  84             :     8  3d6.(5D).4s.4p.(3P*)  3D*  </v>
      </c>
      <c r="J122" t="str">
        <f>""</f>
        <v/>
      </c>
    </row>
    <row r="123" spans="1:10">
      <c r="A123" s="1" t="str">
        <f>"3d7.(4F).4p"</f>
        <v>3d7.(4F).4p</v>
      </c>
      <c r="B123" t="str">
        <f>"y 3D*"</f>
        <v>y 3D*</v>
      </c>
      <c r="C123" t="str">
        <f>"2"</f>
        <v>2</v>
      </c>
      <c r="D123" t="str">
        <f>""</f>
        <v/>
      </c>
      <c r="E123" t="str">
        <f>"38678.039"</f>
        <v>38678.039</v>
      </c>
      <c r="F123" t="str">
        <f>""</f>
        <v/>
      </c>
      <c r="G123" t="str">
        <f t="shared" si="13"/>
        <v>0.001</v>
      </c>
      <c r="H123" t="str">
        <f>"1.151"</f>
        <v>1.151</v>
      </c>
      <c r="I123" t="str">
        <f>"  85             :     7  3d6.(5D).4s.4p.(3P*)  3D*  "</f>
        <v xml:space="preserve">  85             :     7  3d6.(5D).4s.4p.(3P*)  3D*  </v>
      </c>
      <c r="J123" t="str">
        <f>""</f>
        <v/>
      </c>
    </row>
    <row r="124" spans="1:10">
      <c r="A124" s="1" t="str">
        <f>"3d7.(4F).4p"</f>
        <v>3d7.(4F).4p</v>
      </c>
      <c r="B124" t="str">
        <f>"y 3D*"</f>
        <v>y 3D*</v>
      </c>
      <c r="C124" t="str">
        <f>"1"</f>
        <v>1</v>
      </c>
      <c r="D124" t="str">
        <f>""</f>
        <v/>
      </c>
      <c r="E124" t="str">
        <f>"38995.736"</f>
        <v>38995.736</v>
      </c>
      <c r="F124" t="str">
        <f>""</f>
        <v/>
      </c>
      <c r="G124" t="str">
        <f t="shared" si="13"/>
        <v>0.001</v>
      </c>
      <c r="H124" t="str">
        <f>"0.493"</f>
        <v>0.493</v>
      </c>
      <c r="I124" t="str">
        <f>"  86             :     7  3d6.(5D).4s.4p.(3P*)  3D*  "</f>
        <v xml:space="preserve">  86             :     7  3d6.(5D).4s.4p.(3P*)  3D*  </v>
      </c>
      <c r="J124" t="str">
        <f>""</f>
        <v/>
      </c>
    </row>
    <row r="125" spans="1:10">
      <c r="A125" s="1" t="str">
        <f>"3d6.(5D).4s.4p.(1P*)"</f>
        <v>3d6.(5D).4s.4p.(1P*)</v>
      </c>
      <c r="B125" t="str">
        <f>"x 5D*"</f>
        <v>x 5D*</v>
      </c>
      <c r="C125" t="str">
        <f>"4"</f>
        <v>4</v>
      </c>
      <c r="D125" t="str">
        <f>""</f>
        <v/>
      </c>
      <c r="E125" t="str">
        <f>"39625.804"</f>
        <v>39625.804</v>
      </c>
      <c r="F125" t="str">
        <f>""</f>
        <v/>
      </c>
      <c r="G125" t="str">
        <f t="shared" si="13"/>
        <v>0.001</v>
      </c>
      <c r="H125" t="str">
        <f>"1.489"</f>
        <v>1.489</v>
      </c>
      <c r="I125" t="str">
        <f>"  55             :    18  3d7.(4F).4p           5D*  "</f>
        <v xml:space="preserve">  55             :    18  3d7.(4F).4p           5D*  </v>
      </c>
      <c r="J125" t="str">
        <f>""</f>
        <v/>
      </c>
    </row>
    <row r="126" spans="1:10">
      <c r="A126" s="1" t="str">
        <f>"3d6.(5D).4s.4p.(1P*)"</f>
        <v>3d6.(5D).4s.4p.(1P*)</v>
      </c>
      <c r="B126" t="str">
        <f>"x 5D*"</f>
        <v>x 5D*</v>
      </c>
      <c r="C126" t="str">
        <f>"3"</f>
        <v>3</v>
      </c>
      <c r="D126" t="str">
        <f>""</f>
        <v/>
      </c>
      <c r="E126" t="str">
        <f>"39969.853"</f>
        <v>39969.853</v>
      </c>
      <c r="F126" t="str">
        <f>""</f>
        <v/>
      </c>
      <c r="G126" t="str">
        <f t="shared" si="13"/>
        <v>0.001</v>
      </c>
      <c r="H126" t="str">
        <f>"1.504"</f>
        <v>1.504</v>
      </c>
      <c r="I126" t="str">
        <f>"  54             :    19  3d7.(4F).4p           5D*  "</f>
        <v xml:space="preserve">  54             :    19  3d7.(4F).4p           5D*  </v>
      </c>
      <c r="J126" t="str">
        <f>""</f>
        <v/>
      </c>
    </row>
    <row r="127" spans="1:10">
      <c r="A127" s="1" t="str">
        <f>"3d6.(5D).4s.4p.(1P*)"</f>
        <v>3d6.(5D).4s.4p.(1P*)</v>
      </c>
      <c r="B127" t="str">
        <f>"x 5D*"</f>
        <v>x 5D*</v>
      </c>
      <c r="C127" t="str">
        <f>"2"</f>
        <v>2</v>
      </c>
      <c r="D127" t="str">
        <f>""</f>
        <v/>
      </c>
      <c r="E127" t="str">
        <f>"40231.336"</f>
        <v>40231.336</v>
      </c>
      <c r="F127" t="str">
        <f>""</f>
        <v/>
      </c>
      <c r="G127" t="str">
        <f t="shared" si="13"/>
        <v>0.001</v>
      </c>
      <c r="H127" t="str">
        <f>"1.501"</f>
        <v>1.501</v>
      </c>
      <c r="I127" t="str">
        <f>"  53             :    19  3d7.(4F).4p           5D*  "</f>
        <v xml:space="preserve">  53             :    19  3d7.(4F).4p           5D*  </v>
      </c>
      <c r="J127" t="str">
        <f>""</f>
        <v/>
      </c>
    </row>
    <row r="128" spans="1:10">
      <c r="A128" s="1" t="str">
        <f>"3d6.(5D).4s.4p.(1P*)"</f>
        <v>3d6.(5D).4s.4p.(1P*)</v>
      </c>
      <c r="B128" t="str">
        <f>"x 5D*"</f>
        <v>x 5D*</v>
      </c>
      <c r="C128" t="str">
        <f>"1"</f>
        <v>1</v>
      </c>
      <c r="D128" t="str">
        <f>""</f>
        <v/>
      </c>
      <c r="E128" t="str">
        <f>"40404.518"</f>
        <v>40404.518</v>
      </c>
      <c r="F128" t="str">
        <f>""</f>
        <v/>
      </c>
      <c r="G128" t="str">
        <f t="shared" si="13"/>
        <v>0.001</v>
      </c>
      <c r="H128" t="str">
        <f>"1.498"</f>
        <v>1.498</v>
      </c>
      <c r="I128" t="str">
        <f>"  53             :    20  3d7.(4F).4p           5D*  "</f>
        <v xml:space="preserve">  53             :    20  3d7.(4F).4p           5D*  </v>
      </c>
      <c r="J128" t="str">
        <f>""</f>
        <v/>
      </c>
    </row>
    <row r="129" spans="1:10">
      <c r="A129" s="1" t="str">
        <f>"3d6.(5D).4s.4p.(1P*)"</f>
        <v>3d6.(5D).4s.4p.(1P*)</v>
      </c>
      <c r="B129" t="str">
        <f>"x 5D*"</f>
        <v>x 5D*</v>
      </c>
      <c r="C129" t="str">
        <f>"0"</f>
        <v>0</v>
      </c>
      <c r="D129" t="str">
        <f>""</f>
        <v/>
      </c>
      <c r="E129" t="str">
        <f>"40491.284"</f>
        <v>40491.284</v>
      </c>
      <c r="F129" t="str">
        <f>""</f>
        <v/>
      </c>
      <c r="G129" t="str">
        <f t="shared" si="13"/>
        <v>0.001</v>
      </c>
      <c r="H129" t="str">
        <f>""</f>
        <v/>
      </c>
      <c r="I129" t="str">
        <f>"  53             :    20  3d7.(4F).4p           5D*  "</f>
        <v xml:space="preserve">  53             :    20  3d7.(4F).4p           5D*  </v>
      </c>
      <c r="J129" t="str">
        <f>""</f>
        <v/>
      </c>
    </row>
    <row r="130" spans="1:10">
      <c r="A130" s="1" t="str">
        <f>"3d5.(6S).4s2.4p"</f>
        <v>3d5.(6S).4s2.4p</v>
      </c>
      <c r="B130" t="str">
        <f>"y 7P*"</f>
        <v>y 7P*</v>
      </c>
      <c r="C130" t="str">
        <f>"2"</f>
        <v>2</v>
      </c>
      <c r="D130" t="str">
        <f>""</f>
        <v/>
      </c>
      <c r="E130" t="str">
        <f>"40052.035"</f>
        <v>40052.035</v>
      </c>
      <c r="F130" t="str">
        <f>""</f>
        <v/>
      </c>
      <c r="G130" t="str">
        <f t="shared" si="13"/>
        <v>0.001</v>
      </c>
      <c r="H130" t="str">
        <f>"2.340"</f>
        <v>2.340</v>
      </c>
      <c r="I130" t="str">
        <f>"  97                                                 "</f>
        <v xml:space="preserve">  97                                                 </v>
      </c>
      <c r="J130" t="str">
        <f>""</f>
        <v/>
      </c>
    </row>
    <row r="131" spans="1:10">
      <c r="A131" s="1" t="str">
        <f>"3d5.(6S).4s2.4p"</f>
        <v>3d5.(6S).4s2.4p</v>
      </c>
      <c r="B131" t="str">
        <f>"y 7P*"</f>
        <v>y 7P*</v>
      </c>
      <c r="C131" t="str">
        <f>"3"</f>
        <v>3</v>
      </c>
      <c r="D131" t="str">
        <f>""</f>
        <v/>
      </c>
      <c r="E131" t="str">
        <f>"40207.091"</f>
        <v>40207.091</v>
      </c>
      <c r="F131" t="str">
        <f>""</f>
        <v/>
      </c>
      <c r="G131" t="str">
        <f t="shared" si="13"/>
        <v>0.001</v>
      </c>
      <c r="H131" t="str">
        <f>"1.908"</f>
        <v>1.908</v>
      </c>
      <c r="I131" t="str">
        <f>"  98                                                 "</f>
        <v xml:space="preserve">  98                                                 </v>
      </c>
      <c r="J131" t="str">
        <f>""</f>
        <v/>
      </c>
    </row>
    <row r="132" spans="1:10">
      <c r="A132" s="1" t="str">
        <f>"3d5.(6S).4s2.4p"</f>
        <v>3d5.(6S).4s2.4p</v>
      </c>
      <c r="B132" t="str">
        <f>"y 7P*"</f>
        <v>y 7P*</v>
      </c>
      <c r="C132" t="str">
        <f>"4"</f>
        <v>4</v>
      </c>
      <c r="D132" t="str">
        <f>""</f>
        <v/>
      </c>
      <c r="E132" t="str">
        <f>"40421.938"</f>
        <v>40421.938</v>
      </c>
      <c r="F132" t="str">
        <f>""</f>
        <v/>
      </c>
      <c r="G132" t="str">
        <f t="shared" si="13"/>
        <v>0.001</v>
      </c>
      <c r="H132" t="str">
        <f>"1.75?"</f>
        <v>1.75?</v>
      </c>
      <c r="I132" t="str">
        <f>"  91             :     7  3d6.(5D).4s.4p.(1P*)  5F*  "</f>
        <v xml:space="preserve">  91             :     7  3d6.(5D).4s.4p.(1P*)  5F*  </v>
      </c>
      <c r="J132" t="str">
        <f>""</f>
        <v/>
      </c>
    </row>
    <row r="133" spans="1:10">
      <c r="A133" s="1" t="str">
        <f>"3d6.(5D).4s.4p.(1P*)"</f>
        <v>3d6.(5D).4s.4p.(1P*)</v>
      </c>
      <c r="B133" t="str">
        <f>"x 5F*"</f>
        <v>x 5F*</v>
      </c>
      <c r="C133" t="str">
        <f>"5"</f>
        <v>5</v>
      </c>
      <c r="D133" t="str">
        <f>""</f>
        <v/>
      </c>
      <c r="E133" t="str">
        <f>"40257.314"</f>
        <v>40257.314</v>
      </c>
      <c r="F133" t="str">
        <f>""</f>
        <v/>
      </c>
      <c r="G133" t="str">
        <f t="shared" si="13"/>
        <v>0.001</v>
      </c>
      <c r="H133" t="str">
        <f>"1.390"</f>
        <v>1.390</v>
      </c>
      <c r="I133" t="str">
        <f>"  90             :     5  3d7.(4F).4p           5F*  "</f>
        <v xml:space="preserve">  90             :     5  3d7.(4F).4p           5F*  </v>
      </c>
      <c r="J133" t="str">
        <f>""</f>
        <v/>
      </c>
    </row>
    <row r="134" spans="1:10">
      <c r="A134" s="1" t="str">
        <f>"3d6.(5D).4s.4p.(1P*)"</f>
        <v>3d6.(5D).4s.4p.(1P*)</v>
      </c>
      <c r="B134" t="str">
        <f>"x 5F*"</f>
        <v>x 5F*</v>
      </c>
      <c r="C134" t="str">
        <f>"4"</f>
        <v>4</v>
      </c>
      <c r="D134" t="str">
        <f>""</f>
        <v/>
      </c>
      <c r="E134" t="str">
        <f>"40594.432"</f>
        <v>40594.432</v>
      </c>
      <c r="F134" t="str">
        <f>""</f>
        <v/>
      </c>
      <c r="G134" t="str">
        <f t="shared" si="13"/>
        <v>0.001</v>
      </c>
      <c r="H134" t="str">
        <f>"1.328"</f>
        <v>1.328</v>
      </c>
      <c r="I134" t="str">
        <f>"  82             :     5  3d7.(4F).4p           5F*  "</f>
        <v xml:space="preserve">  82             :     5  3d7.(4F).4p           5F*  </v>
      </c>
      <c r="J134" t="str">
        <f>""</f>
        <v/>
      </c>
    </row>
    <row r="135" spans="1:10">
      <c r="A135" s="1" t="str">
        <f>"3d6.(5D).4s.4p.(1P*)"</f>
        <v>3d6.(5D).4s.4p.(1P*)</v>
      </c>
      <c r="B135" t="str">
        <f>"x 5F*"</f>
        <v>x 5F*</v>
      </c>
      <c r="C135" t="str">
        <f>"3"</f>
        <v>3</v>
      </c>
      <c r="D135" t="str">
        <f>""</f>
        <v/>
      </c>
      <c r="E135" t="str">
        <f>"40842.154"</f>
        <v>40842.154</v>
      </c>
      <c r="F135" t="str">
        <f>""</f>
        <v/>
      </c>
      <c r="G135" t="str">
        <f t="shared" si="13"/>
        <v>0.001</v>
      </c>
      <c r="H135" t="str">
        <f>"1.254"</f>
        <v>1.254</v>
      </c>
      <c r="I135" t="str">
        <f>"  88             :     5  3d7.(4F).4p           5F*  "</f>
        <v xml:space="preserve">  88             :     5  3d7.(4F).4p           5F*  </v>
      </c>
      <c r="J135" t="str">
        <f>""</f>
        <v/>
      </c>
    </row>
    <row r="136" spans="1:10">
      <c r="A136" s="1" t="str">
        <f>"3d6.(5D).4s.4p.(1P*)"</f>
        <v>3d6.(5D).4s.4p.(1P*)</v>
      </c>
      <c r="B136" t="str">
        <f>"x 5F*"</f>
        <v>x 5F*</v>
      </c>
      <c r="C136" t="str">
        <f>"2"</f>
        <v>2</v>
      </c>
      <c r="D136" t="str">
        <f>""</f>
        <v/>
      </c>
      <c r="E136" t="str">
        <f>"41018.051"</f>
        <v>41018.051</v>
      </c>
      <c r="F136" t="str">
        <f>""</f>
        <v/>
      </c>
      <c r="G136" t="str">
        <f t="shared" si="13"/>
        <v>0.001</v>
      </c>
      <c r="H136" t="str">
        <f>"0.998"</f>
        <v>0.998</v>
      </c>
      <c r="I136" t="str">
        <f>"  88             :     5  3d7.(4F).4p           5F*  "</f>
        <v xml:space="preserve">  88             :     5  3d7.(4F).4p           5F*  </v>
      </c>
      <c r="J136" t="str">
        <f>""</f>
        <v/>
      </c>
    </row>
    <row r="137" spans="1:10">
      <c r="A137" s="1" t="str">
        <f>"3d6.(5D).4s.4p.(1P*)"</f>
        <v>3d6.(5D).4s.4p.(1P*)</v>
      </c>
      <c r="B137" t="str">
        <f>"x 5F*"</f>
        <v>x 5F*</v>
      </c>
      <c r="C137" t="str">
        <f>"1"</f>
        <v>1</v>
      </c>
      <c r="D137" t="str">
        <f>""</f>
        <v/>
      </c>
      <c r="E137" t="str">
        <f>"41130.599"</f>
        <v>41130.599</v>
      </c>
      <c r="F137" t="str">
        <f>""</f>
        <v/>
      </c>
      <c r="G137" t="str">
        <f t="shared" si="13"/>
        <v>0.001</v>
      </c>
      <c r="H137" t="str">
        <f>"-0.006"</f>
        <v>-0.006</v>
      </c>
      <c r="I137" t="str">
        <f>"  88             :     5  3d7.(4F).4p           5F*  "</f>
        <v xml:space="preserve">  88             :     5  3d7.(4F).4p           5F*  </v>
      </c>
      <c r="J137" t="str">
        <f>""</f>
        <v/>
      </c>
    </row>
    <row r="138" spans="1:10">
      <c r="A138" s="1" t="str">
        <f>"3d8"</f>
        <v>3d8</v>
      </c>
      <c r="B138" t="str">
        <f>"3P"</f>
        <v>3P</v>
      </c>
      <c r="C138" t="str">
        <f>"2"</f>
        <v>2</v>
      </c>
      <c r="D138" t="str">
        <f>""</f>
        <v/>
      </c>
      <c r="E138" t="str">
        <f>"40871.412"</f>
        <v>40871.412</v>
      </c>
      <c r="F138" t="str">
        <f>""</f>
        <v/>
      </c>
      <c r="G138" t="str">
        <f t="shared" si="13"/>
        <v>0.001</v>
      </c>
      <c r="H138" t="str">
        <f>""</f>
        <v/>
      </c>
      <c r="I138" t="str">
        <f>"  85             :     6  3d6.4s2               3P2  "</f>
        <v xml:space="preserve">  85             :     6  3d6.4s2               3P2  </v>
      </c>
      <c r="J138" t="str">
        <f>""</f>
        <v/>
      </c>
    </row>
    <row r="139" spans="1:10">
      <c r="A139" s="1" t="str">
        <f>"3d8"</f>
        <v>3d8</v>
      </c>
      <c r="B139" t="str">
        <f>"3P"</f>
        <v>3P</v>
      </c>
      <c r="C139" t="str">
        <f>"1"</f>
        <v>1</v>
      </c>
      <c r="D139" t="str">
        <f>""</f>
        <v/>
      </c>
      <c r="E139" t="str">
        <f>"41178.412"</f>
        <v>41178.412</v>
      </c>
      <c r="F139" t="str">
        <f>""</f>
        <v/>
      </c>
      <c r="G139" t="str">
        <f t="shared" si="13"/>
        <v>0.001</v>
      </c>
      <c r="H139" t="str">
        <f>""</f>
        <v/>
      </c>
      <c r="I139" t="str">
        <f>"  85             :     8  3d6.4s2               3P2  "</f>
        <v xml:space="preserve">  85             :     8  3d6.4s2               3P2  </v>
      </c>
      <c r="J139" t="str">
        <f>""</f>
        <v/>
      </c>
    </row>
    <row r="140" spans="1:10">
      <c r="A140" s="1" t="str">
        <f>"3d8"</f>
        <v>3d8</v>
      </c>
      <c r="B140" t="str">
        <f>"3P"</f>
        <v>3P</v>
      </c>
      <c r="C140" t="str">
        <f>"0"</f>
        <v>0</v>
      </c>
      <c r="D140" t="str">
        <f>""</f>
        <v/>
      </c>
      <c r="E140" t="str">
        <f>"41234.505"</f>
        <v>41234.505</v>
      </c>
      <c r="F140" t="str">
        <f>""</f>
        <v/>
      </c>
      <c r="G140" t="str">
        <f t="shared" si="13"/>
        <v>0.001</v>
      </c>
      <c r="H140" t="str">
        <f>""</f>
        <v/>
      </c>
      <c r="I140" t="str">
        <f>"  83             :     8  3d6.4s2               3P2  "</f>
        <v xml:space="preserve">  83             :     8  3d6.4s2               3P2  </v>
      </c>
      <c r="J140" t="str">
        <f>""</f>
        <v/>
      </c>
    </row>
    <row r="141" spans="1:10">
      <c r="A141" s="1" t="str">
        <f>"3d6.(3P2).4s.4p.(3P*)"</f>
        <v>3d6.(3P2).4s.4p.(3P*)</v>
      </c>
      <c r="B141" t="str">
        <f>"z 5S*"</f>
        <v>z 5S*</v>
      </c>
      <c r="C141" t="str">
        <f>"2"</f>
        <v>2</v>
      </c>
      <c r="D141" t="str">
        <f>""</f>
        <v/>
      </c>
      <c r="E141" t="str">
        <f>"40894.990"</f>
        <v>40894.990</v>
      </c>
      <c r="F141" t="str">
        <f>""</f>
        <v/>
      </c>
      <c r="G141" t="str">
        <f t="shared" si="13"/>
        <v>0.001</v>
      </c>
      <c r="H141" t="str">
        <f>"1.985"</f>
        <v>1.985</v>
      </c>
      <c r="I141" t="str">
        <f>"  59             :    36  3d7.(4P).4p           5S*  "</f>
        <v xml:space="preserve">  59             :    36  3d7.(4P).4p           5S*  </v>
      </c>
      <c r="J141" t="str">
        <f>""</f>
        <v/>
      </c>
    </row>
    <row r="142" spans="1:10">
      <c r="A142" s="1" t="str">
        <f>"3d6.(3P2).4s.4p.(3P*)"</f>
        <v>3d6.(3P2).4s.4p.(3P*)</v>
      </c>
      <c r="B142" t="str">
        <f>"x 5P*"</f>
        <v>x 5P*</v>
      </c>
      <c r="C142" t="str">
        <f>"3"</f>
        <v>3</v>
      </c>
      <c r="D142" t="str">
        <f>""</f>
        <v/>
      </c>
      <c r="E142" t="str">
        <f>"42532.741"</f>
        <v>42532.741</v>
      </c>
      <c r="F142" t="str">
        <f>""</f>
        <v/>
      </c>
      <c r="G142" t="str">
        <f t="shared" si="13"/>
        <v>0.001</v>
      </c>
      <c r="H142" t="str">
        <f>"1.650"</f>
        <v>1.650</v>
      </c>
      <c r="I142" t="str">
        <f>"  86             :     5  3d7.(4P).4p           5P*  "</f>
        <v xml:space="preserve">  86             :     5  3d7.(4P).4p           5P*  </v>
      </c>
      <c r="J142" t="str">
        <f>""</f>
        <v/>
      </c>
    </row>
    <row r="143" spans="1:10">
      <c r="A143" s="1" t="str">
        <f>"3d6.(3P2).4s.4p.(3P*)"</f>
        <v>3d6.(3P2).4s.4p.(3P*)</v>
      </c>
      <c r="B143" t="str">
        <f>"x 5P*"</f>
        <v>x 5P*</v>
      </c>
      <c r="C143" t="str">
        <f>"2"</f>
        <v>2</v>
      </c>
      <c r="D143" t="str">
        <f>""</f>
        <v/>
      </c>
      <c r="E143" t="str">
        <f>"42859.778"</f>
        <v>42859.778</v>
      </c>
      <c r="F143" t="str">
        <f>""</f>
        <v/>
      </c>
      <c r="G143" t="str">
        <f>"0.002"</f>
        <v>0.002</v>
      </c>
      <c r="H143" t="str">
        <f>"1.822"</f>
        <v>1.822</v>
      </c>
      <c r="I143" t="str">
        <f>"  76             :    10  3d7.(4P).4p           5S*  "</f>
        <v xml:space="preserve">  76             :    10  3d7.(4P).4p           5S*  </v>
      </c>
      <c r="J143" t="str">
        <f>""</f>
        <v/>
      </c>
    </row>
    <row r="144" spans="1:10">
      <c r="A144" s="1" t="str">
        <f>"3d6.(3P2).4s.4p.(3P*)"</f>
        <v>3d6.(3P2).4s.4p.(3P*)</v>
      </c>
      <c r="B144" t="str">
        <f>"x 5P*"</f>
        <v>x 5P*</v>
      </c>
      <c r="C144" t="str">
        <f>"1"</f>
        <v>1</v>
      </c>
      <c r="D144" t="str">
        <f>""</f>
        <v/>
      </c>
      <c r="E144" t="str">
        <f>"43079.023"</f>
        <v>43079.023</v>
      </c>
      <c r="F144" t="str">
        <f>""</f>
        <v/>
      </c>
      <c r="G144" t="str">
        <f>"0.002"</f>
        <v>0.002</v>
      </c>
      <c r="H144" t="str">
        <f>"2.464"</f>
        <v>2.464</v>
      </c>
      <c r="I144" t="str">
        <f>"  85             :     7  3d7.(4P).4p           5P*  "</f>
        <v xml:space="preserve">  85             :     7  3d7.(4P).4p           5P*  </v>
      </c>
      <c r="J144" t="str">
        <f>""</f>
        <v/>
      </c>
    </row>
    <row r="145" spans="1:10">
      <c r="A145" s="1" t="str">
        <f>"3d6.(3H).4s.4p.(3P*)"</f>
        <v>3d6.(3H).4s.4p.(3P*)</v>
      </c>
      <c r="B145" t="str">
        <f>"y 5G*"</f>
        <v>y 5G*</v>
      </c>
      <c r="C145" t="str">
        <f>"6"</f>
        <v>6</v>
      </c>
      <c r="D145" t="str">
        <f>""</f>
        <v/>
      </c>
      <c r="E145" t="str">
        <f>"42784.352"</f>
        <v>42784.352</v>
      </c>
      <c r="F145" t="str">
        <f>""</f>
        <v/>
      </c>
      <c r="G145" t="str">
        <f>"0.002"</f>
        <v>0.002</v>
      </c>
      <c r="H145" t="str">
        <f>"1.342"</f>
        <v>1.342</v>
      </c>
      <c r="I145" t="str">
        <f>"  60             :    30  3d6.(3F2).4s.4p.(3P*) 5G*  "</f>
        <v xml:space="preserve">  60             :    30  3d6.(3F2).4s.4p.(3P*) 5G*  </v>
      </c>
      <c r="J145" t="str">
        <f>""</f>
        <v/>
      </c>
    </row>
    <row r="146" spans="1:10">
      <c r="A146" s="1" t="str">
        <f>"3d6.(3H).4s.4p.(3P*)"</f>
        <v>3d6.(3H).4s.4p.(3P*)</v>
      </c>
      <c r="B146" t="str">
        <f>"y 5G*"</f>
        <v>y 5G*</v>
      </c>
      <c r="C146" t="str">
        <f>"5"</f>
        <v>5</v>
      </c>
      <c r="D146" t="str">
        <f>""</f>
        <v/>
      </c>
      <c r="E146" t="str">
        <f>"42911.917"</f>
        <v>42911.917</v>
      </c>
      <c r="F146" t="str">
        <f>""</f>
        <v/>
      </c>
      <c r="G146" t="str">
        <f>"0.001"</f>
        <v>0.001</v>
      </c>
      <c r="H146" t="str">
        <f>"1.203"</f>
        <v>1.203</v>
      </c>
      <c r="I146" t="str">
        <f>"  53             :    33  3d6.(3F2).4s.4p.(3P*) 5G*  "</f>
        <v xml:space="preserve">  53             :    33  3d6.(3F2).4s.4p.(3P*) 5G*  </v>
      </c>
      <c r="J146" t="str">
        <f>""</f>
        <v/>
      </c>
    </row>
    <row r="147" spans="1:10">
      <c r="A147" s="1" t="str">
        <f>"3d6.(3H).4s.4p.(3P*)"</f>
        <v>3d6.(3H).4s.4p.(3P*)</v>
      </c>
      <c r="B147" t="str">
        <f>"y 5G*"</f>
        <v>y 5G*</v>
      </c>
      <c r="C147" t="str">
        <f>"4"</f>
        <v>4</v>
      </c>
      <c r="D147" t="str">
        <f>""</f>
        <v/>
      </c>
      <c r="E147" t="str">
        <f>"43022.985"</f>
        <v>43022.985</v>
      </c>
      <c r="F147" t="str">
        <f>""</f>
        <v/>
      </c>
      <c r="G147" t="str">
        <f>"0.002"</f>
        <v>0.002</v>
      </c>
      <c r="H147" t="str">
        <f>"1.024"</f>
        <v>1.024</v>
      </c>
      <c r="I147" t="str">
        <f>"  44             :    37  3d6.(3F2).4s.4p.(3P*) 5G*  "</f>
        <v xml:space="preserve">  44             :    37  3d6.(3F2).4s.4p.(3P*) 5G*  </v>
      </c>
      <c r="J147" t="str">
        <f>""</f>
        <v/>
      </c>
    </row>
    <row r="148" spans="1:10">
      <c r="A148" s="1" t="str">
        <f>"3d6.(3H).4s.4p.(3P*)"</f>
        <v>3d6.(3H).4s.4p.(3P*)</v>
      </c>
      <c r="B148" t="str">
        <f>"y 5G*"</f>
        <v>y 5G*</v>
      </c>
      <c r="C148" t="str">
        <f>"3"</f>
        <v>3</v>
      </c>
      <c r="D148" t="str">
        <f>""</f>
        <v/>
      </c>
      <c r="E148" t="str">
        <f>"43137.487"</f>
        <v>43137.487</v>
      </c>
      <c r="F148" t="str">
        <f>""</f>
        <v/>
      </c>
      <c r="G148" t="str">
        <f>"0.001"</f>
        <v>0.001</v>
      </c>
      <c r="H148" t="str">
        <f>"0.905"</f>
        <v>0.905</v>
      </c>
      <c r="I148" t="str">
        <f>"  38             :    22  3d6.(3F2).4s.4p.(3P*) 5G*  "</f>
        <v xml:space="preserve">  38             :    22  3d6.(3F2).4s.4p.(3P*) 5G*  </v>
      </c>
      <c r="J148" t="str">
        <f>""</f>
        <v/>
      </c>
    </row>
    <row r="149" spans="1:10">
      <c r="A149" s="1" t="str">
        <f>"3d6.(3H).4s.4p.(3P*)"</f>
        <v>3d6.(3H).4s.4p.(3P*)</v>
      </c>
      <c r="B149" t="str">
        <f>"y 5G*"</f>
        <v>y 5G*</v>
      </c>
      <c r="C149" t="str">
        <f>"2"</f>
        <v>2</v>
      </c>
      <c r="D149" t="str">
        <f>""</f>
        <v/>
      </c>
      <c r="E149" t="str">
        <f>"43210.025"</f>
        <v>43210.025</v>
      </c>
      <c r="F149" t="str">
        <f>""</f>
        <v/>
      </c>
      <c r="G149" t="str">
        <f>"0.002"</f>
        <v>0.002</v>
      </c>
      <c r="H149" t="str">
        <f>"0.331"</f>
        <v>0.331</v>
      </c>
      <c r="I149" t="str">
        <f>"  46             :    45  3d6.(3F2).4s.4p.(3P*) 5G*  "</f>
        <v xml:space="preserve">  46             :    45  3d6.(3F2).4s.4p.(3P*) 5G*  </v>
      </c>
      <c r="J149" t="str">
        <f>""</f>
        <v/>
      </c>
    </row>
    <row r="150" spans="1:10">
      <c r="A150" s="1" t="str">
        <f>"3d6.(5D).4s (6D).5s"</f>
        <v>3d6.(5D).4s (6D).5s</v>
      </c>
      <c r="B150" t="str">
        <f>"e 7D"</f>
        <v>e 7D</v>
      </c>
      <c r="C150" t="str">
        <f>"5"</f>
        <v>5</v>
      </c>
      <c r="D150" t="str">
        <f>""</f>
        <v/>
      </c>
      <c r="E150" t="str">
        <f>"42815.855"</f>
        <v>42815.855</v>
      </c>
      <c r="F150" t="str">
        <f>""</f>
        <v/>
      </c>
      <c r="G150" t="str">
        <f>"0.001"</f>
        <v>0.001</v>
      </c>
      <c r="H150" t="str">
        <f>"1.585"</f>
        <v>1.585</v>
      </c>
      <c r="I150" t="str">
        <f t="shared" ref="I150:I157" si="14">"                                                     "</f>
        <v xml:space="preserve">                                                     </v>
      </c>
      <c r="J150" t="str">
        <f>""</f>
        <v/>
      </c>
    </row>
    <row r="151" spans="1:10">
      <c r="A151" s="1" t="str">
        <f>"3d6.(5D).4s (6D).5s"</f>
        <v>3d6.(5D).4s (6D).5s</v>
      </c>
      <c r="B151" t="str">
        <f>"e 7D"</f>
        <v>e 7D</v>
      </c>
      <c r="C151" t="str">
        <f>"4"</f>
        <v>4</v>
      </c>
      <c r="D151" t="str">
        <f>""</f>
        <v/>
      </c>
      <c r="E151" t="str">
        <f>"43163.326"</f>
        <v>43163.326</v>
      </c>
      <c r="F151" t="str">
        <f>""</f>
        <v/>
      </c>
      <c r="G151" t="str">
        <f>"0.001"</f>
        <v>0.001</v>
      </c>
      <c r="H151" t="str">
        <f>"1.655"</f>
        <v>1.655</v>
      </c>
      <c r="I151" t="str">
        <f t="shared" si="14"/>
        <v xml:space="preserve">                                                     </v>
      </c>
      <c r="J151" t="str">
        <f>""</f>
        <v/>
      </c>
    </row>
    <row r="152" spans="1:10">
      <c r="A152" s="1" t="str">
        <f>"3d6.(5D).4s (6D).5s"</f>
        <v>3d6.(5D).4s (6D).5s</v>
      </c>
      <c r="B152" t="str">
        <f>"e 7D"</f>
        <v>e 7D</v>
      </c>
      <c r="C152" t="str">
        <f>"3"</f>
        <v>3</v>
      </c>
      <c r="D152" t="str">
        <f>""</f>
        <v/>
      </c>
      <c r="E152" t="str">
        <f>"43434.627"</f>
        <v>43434.627</v>
      </c>
      <c r="F152" t="str">
        <f>""</f>
        <v/>
      </c>
      <c r="G152" t="str">
        <f>"0.001"</f>
        <v>0.001</v>
      </c>
      <c r="H152" t="str">
        <f>"1.755"</f>
        <v>1.755</v>
      </c>
      <c r="I152" t="str">
        <f t="shared" si="14"/>
        <v xml:space="preserve">                                                     </v>
      </c>
      <c r="J152" t="str">
        <f>""</f>
        <v/>
      </c>
    </row>
    <row r="153" spans="1:10">
      <c r="A153" s="1" t="str">
        <f>"3d6.(5D).4s (6D).5s"</f>
        <v>3d6.(5D).4s (6D).5s</v>
      </c>
      <c r="B153" t="str">
        <f>"e 7D"</f>
        <v>e 7D</v>
      </c>
      <c r="C153" t="str">
        <f>"2"</f>
        <v>2</v>
      </c>
      <c r="D153" t="str">
        <f>""</f>
        <v/>
      </c>
      <c r="E153" t="str">
        <f>"43633.533"</f>
        <v>43633.533</v>
      </c>
      <c r="F153" t="str">
        <f>""</f>
        <v/>
      </c>
      <c r="G153" t="str">
        <f>"0.001"</f>
        <v>0.001</v>
      </c>
      <c r="H153" t="str">
        <f>"2.009"</f>
        <v>2.009</v>
      </c>
      <c r="I153" t="str">
        <f t="shared" si="14"/>
        <v xml:space="preserve">                                                     </v>
      </c>
      <c r="J153" t="str">
        <f>""</f>
        <v/>
      </c>
    </row>
    <row r="154" spans="1:10">
      <c r="A154" s="1" t="str">
        <f>"3d6.(5D).4s (6D).5s"</f>
        <v>3d6.(5D).4s (6D).5s</v>
      </c>
      <c r="B154" t="str">
        <f>"e 7D"</f>
        <v>e 7D</v>
      </c>
      <c r="C154" t="str">
        <f>"1"</f>
        <v>1</v>
      </c>
      <c r="D154" t="str">
        <f>""</f>
        <v/>
      </c>
      <c r="E154" t="str">
        <f>"43763.980"</f>
        <v>43763.980</v>
      </c>
      <c r="F154" t="str">
        <f>""</f>
        <v/>
      </c>
      <c r="G154" t="str">
        <f>"0.001"</f>
        <v>0.001</v>
      </c>
      <c r="H154" t="str">
        <f>"3.002"</f>
        <v>3.002</v>
      </c>
      <c r="I154" t="str">
        <f t="shared" si="14"/>
        <v xml:space="preserve">                                                     </v>
      </c>
      <c r="J154" t="str">
        <f>""</f>
        <v/>
      </c>
    </row>
    <row r="155" spans="1:10">
      <c r="A155" s="1" t="str">
        <f t="shared" ref="A155:A161" si="15">"3d6.(3H).4s.4p.(3P*)"</f>
        <v>3d6.(3H).4s.4p.(3P*)</v>
      </c>
      <c r="B155" t="str">
        <f>"z 5I*"</f>
        <v>z 5I*</v>
      </c>
      <c r="C155" t="str">
        <f>"6"</f>
        <v>6</v>
      </c>
      <c r="D155" t="str">
        <f>""</f>
        <v/>
      </c>
      <c r="E155" t="str">
        <f>"42903.861"</f>
        <v>42903.861</v>
      </c>
      <c r="F155" t="str">
        <f>""</f>
        <v/>
      </c>
      <c r="G155" t="str">
        <f>"0.002"</f>
        <v>0.002</v>
      </c>
      <c r="H155" t="str">
        <f>""</f>
        <v/>
      </c>
      <c r="I155" t="str">
        <f t="shared" si="14"/>
        <v xml:space="preserve">                                                     </v>
      </c>
      <c r="J155" t="str">
        <f>""</f>
        <v/>
      </c>
    </row>
    <row r="156" spans="1:10">
      <c r="A156" s="1" t="str">
        <f t="shared" si="15"/>
        <v>3d6.(3H).4s.4p.(3P*)</v>
      </c>
      <c r="B156" t="str">
        <f>"z 5I*"</f>
        <v>z 5I*</v>
      </c>
      <c r="C156" t="str">
        <f>"4"</f>
        <v>4</v>
      </c>
      <c r="D156" t="str">
        <f>""</f>
        <v/>
      </c>
      <c r="E156" t="str">
        <f>"43442.705"</f>
        <v>43442.705</v>
      </c>
      <c r="F156" t="str">
        <f>""</f>
        <v/>
      </c>
      <c r="G156" t="str">
        <f>"0.003"</f>
        <v>0.003</v>
      </c>
      <c r="H156" t="str">
        <f>""</f>
        <v/>
      </c>
      <c r="I156" t="str">
        <f t="shared" si="14"/>
        <v xml:space="preserve">                                                     </v>
      </c>
      <c r="J156" t="str">
        <f>""</f>
        <v/>
      </c>
    </row>
    <row r="157" spans="1:10">
      <c r="A157" s="1" t="str">
        <f t="shared" si="15"/>
        <v>3d6.(3H).4s.4p.(3P*)</v>
      </c>
      <c r="B157" t="str">
        <f>"z 5I*"</f>
        <v>z 5I*</v>
      </c>
      <c r="C157" t="str">
        <f>"5"</f>
        <v>5</v>
      </c>
      <c r="D157" t="str">
        <f>""</f>
        <v/>
      </c>
      <c r="E157" t="str">
        <f>"43460.121"</f>
        <v>43460.121</v>
      </c>
      <c r="F157" t="str">
        <f>""</f>
        <v/>
      </c>
      <c r="G157" t="str">
        <f>"0.002"</f>
        <v>0.002</v>
      </c>
      <c r="H157" t="str">
        <f>""</f>
        <v/>
      </c>
      <c r="I157" t="str">
        <f t="shared" si="14"/>
        <v xml:space="preserve">                                                     </v>
      </c>
      <c r="J157" t="str">
        <f>""</f>
        <v/>
      </c>
    </row>
    <row r="158" spans="1:10">
      <c r="A158" s="1" t="str">
        <f t="shared" si="15"/>
        <v>3d6.(3H).4s.4p.(3P*)</v>
      </c>
      <c r="B158" t="str">
        <f>"z 5H*"</f>
        <v>z 5H*</v>
      </c>
      <c r="C158" t="str">
        <f>"5"</f>
        <v>5</v>
      </c>
      <c r="D158" t="str">
        <f>""</f>
        <v/>
      </c>
      <c r="E158" t="str">
        <f>"42991.697"</f>
        <v>42991.697</v>
      </c>
      <c r="F158" t="str">
        <f>""</f>
        <v/>
      </c>
      <c r="G158" t="str">
        <f>"0.002"</f>
        <v>0.002</v>
      </c>
      <c r="H158" t="str">
        <f>"1.054"</f>
        <v>1.054</v>
      </c>
      <c r="I158" t="str">
        <f>"  65             :    27  3d6.(3H).4s.4p.(3P*)  5I*  "</f>
        <v xml:space="preserve">  65             :    27  3d6.(3H).4s.4p.(3P*)  5I*  </v>
      </c>
      <c r="J158" t="str">
        <f>""</f>
        <v/>
      </c>
    </row>
    <row r="159" spans="1:10">
      <c r="A159" s="1" t="str">
        <f t="shared" si="15"/>
        <v>3d6.(3H).4s.4p.(3P*)</v>
      </c>
      <c r="B159" t="str">
        <f>"z 5H*"</f>
        <v>z 5H*</v>
      </c>
      <c r="C159" t="str">
        <f>"4"</f>
        <v>4</v>
      </c>
      <c r="D159" t="str">
        <f>""</f>
        <v/>
      </c>
      <c r="E159" t="str">
        <f>"43108.917"</f>
        <v>43108.917</v>
      </c>
      <c r="F159" t="str">
        <f>""</f>
        <v/>
      </c>
      <c r="G159" t="str">
        <f>"0.001"</f>
        <v>0.001</v>
      </c>
      <c r="H159" t="str">
        <f>"0.871"</f>
        <v>0.871</v>
      </c>
      <c r="I159" t="str">
        <f>"  67             :    17  3d6.(3H).4s.4p.(3P*)  5I*  "</f>
        <v xml:space="preserve">  67             :    17  3d6.(3H).4s.4p.(3P*)  5I*  </v>
      </c>
      <c r="J159" t="str">
        <f>""</f>
        <v/>
      </c>
    </row>
    <row r="160" spans="1:10">
      <c r="A160" s="1" t="str">
        <f t="shared" si="15"/>
        <v>3d6.(3H).4s.4p.(3P*)</v>
      </c>
      <c r="B160" t="str">
        <f>"z 5H*"</f>
        <v>z 5H*</v>
      </c>
      <c r="C160" t="str">
        <f>"6"</f>
        <v>6</v>
      </c>
      <c r="D160" t="str">
        <f>""</f>
        <v/>
      </c>
      <c r="E160" t="str">
        <f>"43321.096"</f>
        <v>43321.096</v>
      </c>
      <c r="F160" t="str">
        <f>"?"</f>
        <v>?</v>
      </c>
      <c r="G160" t="str">
        <f>"0.005"</f>
        <v>0.005</v>
      </c>
      <c r="H160" t="str">
        <f>""</f>
        <v/>
      </c>
      <c r="I160" t="str">
        <f>"  64             :    30  3d6.(3H).4s.4p.(3P*)  5I*  "</f>
        <v xml:space="preserve">  64             :    30  3d6.(3H).4s.4p.(3P*)  5I*  </v>
      </c>
      <c r="J160" t="str">
        <f>""</f>
        <v/>
      </c>
    </row>
    <row r="161" spans="1:10">
      <c r="A161" s="1" t="str">
        <f t="shared" si="15"/>
        <v>3d6.(3H).4s.4p.(3P*)</v>
      </c>
      <c r="B161" t="str">
        <f>"z 5H*"</f>
        <v>z 5H*</v>
      </c>
      <c r="C161" t="str">
        <f>"3"</f>
        <v>3</v>
      </c>
      <c r="D161" t="str">
        <f>""</f>
        <v/>
      </c>
      <c r="E161" t="str">
        <f>"43325.964"</f>
        <v>43325.964</v>
      </c>
      <c r="F161" t="str">
        <f>""</f>
        <v/>
      </c>
      <c r="G161" t="str">
        <f>"0.002"</f>
        <v>0.002</v>
      </c>
      <c r="H161" t="str">
        <f>"0.509"</f>
        <v>0.509</v>
      </c>
      <c r="I161" t="str">
        <f>"  48             :    26  3d6.(3H).4s.4p.(3P*)  5G*  "</f>
        <v xml:space="preserve">  48             :    26  3d6.(3H).4s.4p.(3P*)  5G*  </v>
      </c>
      <c r="J161" t="str">
        <f>""</f>
        <v/>
      </c>
    </row>
    <row r="162" spans="1:10">
      <c r="A162" s="1" t="str">
        <f>"3d6.(3P2).4s.4p.(3P*)"</f>
        <v>3d6.(3P2).4s.4p.(3P*)</v>
      </c>
      <c r="B162" t="str">
        <f>"w 5D*"</f>
        <v>w 5D*</v>
      </c>
      <c r="C162" t="str">
        <f>"4"</f>
        <v>4</v>
      </c>
      <c r="D162" t="str">
        <f>""</f>
        <v/>
      </c>
      <c r="E162" t="str">
        <f>"43499.505"</f>
        <v>43499.505</v>
      </c>
      <c r="F162" t="str">
        <f>""</f>
        <v/>
      </c>
      <c r="G162" t="str">
        <f t="shared" ref="G162:G170" si="16">"0.001"</f>
        <v>0.001</v>
      </c>
      <c r="H162" t="str">
        <f>"1.492"</f>
        <v>1.492</v>
      </c>
      <c r="I162" t="str">
        <f>"  51             :    34  3d6.(3F2).4s.4p.(3P*) 5D*  "</f>
        <v xml:space="preserve">  51             :    34  3d6.(3F2).4s.4p.(3P*) 5D*  </v>
      </c>
      <c r="J162" t="str">
        <f>""</f>
        <v/>
      </c>
    </row>
    <row r="163" spans="1:10">
      <c r="A163" s="1" t="str">
        <f>"3d6.(3P2).4s.4p.(3P*)"</f>
        <v>3d6.(3P2).4s.4p.(3P*)</v>
      </c>
      <c r="B163" t="str">
        <f>"w 5D*"</f>
        <v>w 5D*</v>
      </c>
      <c r="C163" t="str">
        <f>"3"</f>
        <v>3</v>
      </c>
      <c r="D163" t="str">
        <f>""</f>
        <v/>
      </c>
      <c r="E163" t="str">
        <f>"43922.668"</f>
        <v>43922.668</v>
      </c>
      <c r="F163" t="str">
        <f>""</f>
        <v/>
      </c>
      <c r="G163" t="str">
        <f t="shared" si="16"/>
        <v>0.001</v>
      </c>
      <c r="H163" t="str">
        <f>"1.481"</f>
        <v>1.481</v>
      </c>
      <c r="I163" t="str">
        <f>"  35             :    28  3d6.(3F2).4s.4p.(3P*) 5D*  "</f>
        <v xml:space="preserve">  35             :    28  3d6.(3F2).4s.4p.(3P*) 5D*  </v>
      </c>
      <c r="J163" t="str">
        <f>""</f>
        <v/>
      </c>
    </row>
    <row r="164" spans="1:10">
      <c r="A164" s="1" t="str">
        <f>"3d6.(3P2).4s.4p.(3P*)"</f>
        <v>3d6.(3P2).4s.4p.(3P*)</v>
      </c>
      <c r="B164" t="str">
        <f>"w 5D*"</f>
        <v>w 5D*</v>
      </c>
      <c r="C164" t="str">
        <f>"2"</f>
        <v>2</v>
      </c>
      <c r="D164" t="str">
        <f>""</f>
        <v/>
      </c>
      <c r="E164" t="str">
        <f>"44183.628"</f>
        <v>44183.628</v>
      </c>
      <c r="F164" t="str">
        <f>""</f>
        <v/>
      </c>
      <c r="G164" t="str">
        <f t="shared" si="16"/>
        <v>0.001</v>
      </c>
      <c r="H164" t="str">
        <f>"1.533"</f>
        <v>1.533</v>
      </c>
      <c r="I164" t="str">
        <f>"  44             :    22  3d6.(3F2).4s.4p.(3P*) 5D*  "</f>
        <v xml:space="preserve">  44             :    22  3d6.(3F2).4s.4p.(3P*) 5D*  </v>
      </c>
      <c r="J164" t="str">
        <f>""</f>
        <v/>
      </c>
    </row>
    <row r="165" spans="1:10">
      <c r="A165" s="1" t="str">
        <f>"3d6.(3P2).4s.4p.(3P*)"</f>
        <v>3d6.(3P2).4s.4p.(3P*)</v>
      </c>
      <c r="B165" t="str">
        <f>"w 5D*"</f>
        <v>w 5D*</v>
      </c>
      <c r="C165" t="str">
        <f>"1"</f>
        <v>1</v>
      </c>
      <c r="D165" t="str">
        <f>""</f>
        <v/>
      </c>
      <c r="E165" t="str">
        <f>"44411.160"</f>
        <v>44411.160</v>
      </c>
      <c r="F165" t="str">
        <f>""</f>
        <v/>
      </c>
      <c r="G165" t="str">
        <f t="shared" si="16"/>
        <v>0.001</v>
      </c>
      <c r="H165" t="str">
        <f>"1.315"</f>
        <v>1.315</v>
      </c>
      <c r="I165" t="str">
        <f>"  48             :    19  3d6.(3F2).4s.4p.(3P*) 5D*  "</f>
        <v xml:space="preserve">  48             :    19  3d6.(3F2).4s.4p.(3P*) 5D*  </v>
      </c>
      <c r="J165" t="str">
        <f>""</f>
        <v/>
      </c>
    </row>
    <row r="166" spans="1:10">
      <c r="A166" s="1" t="str">
        <f>"3d6.(3P2).4s.4p.(3P*)"</f>
        <v>3d6.(3P2).4s.4p.(3P*)</v>
      </c>
      <c r="B166" t="str">
        <f>"w 5D*"</f>
        <v>w 5D*</v>
      </c>
      <c r="C166" t="str">
        <f>"0"</f>
        <v>0</v>
      </c>
      <c r="D166" t="str">
        <f>""</f>
        <v/>
      </c>
      <c r="E166" t="str">
        <f>"44458.934"</f>
        <v>44458.934</v>
      </c>
      <c r="F166" t="str">
        <f>""</f>
        <v/>
      </c>
      <c r="G166" t="str">
        <f t="shared" si="16"/>
        <v>0.001</v>
      </c>
      <c r="H166" t="str">
        <f>""</f>
        <v/>
      </c>
      <c r="I166" t="str">
        <f>"  45             :    19  3d6.(3F2).4s.4p.(3P*) 5D*  "</f>
        <v xml:space="preserve">  45             :    19  3d6.(3F2).4s.4p.(3P*) 5D*  </v>
      </c>
      <c r="J166" t="str">
        <f>""</f>
        <v/>
      </c>
    </row>
    <row r="167" spans="1:10">
      <c r="A167" s="1" t="str">
        <f t="shared" ref="A167:A176" si="17">"3d6.(3F2).4s.4p.(3P*)"</f>
        <v>3d6.(3F2).4s.4p.(3P*)</v>
      </c>
      <c r="B167" t="str">
        <f>"v 5D*"</f>
        <v>v 5D*</v>
      </c>
      <c r="C167" t="str">
        <f>"4"</f>
        <v>4</v>
      </c>
      <c r="D167" t="str">
        <f>""</f>
        <v/>
      </c>
      <c r="E167" t="str">
        <f>"44022.525"</f>
        <v>44022.525</v>
      </c>
      <c r="F167" t="str">
        <f>""</f>
        <v/>
      </c>
      <c r="G167" t="str">
        <f t="shared" si="16"/>
        <v>0.001</v>
      </c>
      <c r="H167" t="str">
        <f>"1.444"</f>
        <v>1.444</v>
      </c>
      <c r="I167" t="str">
        <f>"  42             :    23  3d6.(3P2).4s.4p.(3P*) 5D*  "</f>
        <v xml:space="preserve">  42             :    23  3d6.(3P2).4s.4p.(3P*) 5D*  </v>
      </c>
      <c r="J167" t="str">
        <f>""</f>
        <v/>
      </c>
    </row>
    <row r="168" spans="1:10">
      <c r="A168" s="1" t="str">
        <f t="shared" si="17"/>
        <v>3d6.(3F2).4s.4p.(3P*)</v>
      </c>
      <c r="B168" t="str">
        <f>"v 5D*"</f>
        <v>v 5D*</v>
      </c>
      <c r="C168" t="str">
        <f>"3"</f>
        <v>3</v>
      </c>
      <c r="D168" t="str">
        <f>""</f>
        <v/>
      </c>
      <c r="E168" t="str">
        <f>"44166.206"</f>
        <v>44166.206</v>
      </c>
      <c r="F168" t="str">
        <f>""</f>
        <v/>
      </c>
      <c r="G168" t="str">
        <f t="shared" si="16"/>
        <v>0.001</v>
      </c>
      <c r="H168" t="str">
        <f>"1.351"</f>
        <v>1.351</v>
      </c>
      <c r="I168" t="str">
        <f>"  39             :    28  3d6.(3P2).4s.4p.(3P*) 5D*  "</f>
        <v xml:space="preserve">  39             :    28  3d6.(3P2).4s.4p.(3P*) 5D*  </v>
      </c>
      <c r="J168" t="str">
        <f>""</f>
        <v/>
      </c>
    </row>
    <row r="169" spans="1:10">
      <c r="A169" s="1" t="str">
        <f t="shared" si="17"/>
        <v>3d6.(3F2).4s.4p.(3P*)</v>
      </c>
      <c r="B169" t="str">
        <f>"v 5D*"</f>
        <v>v 5D*</v>
      </c>
      <c r="C169" t="str">
        <f>"2"</f>
        <v>2</v>
      </c>
      <c r="D169" t="str">
        <f>""</f>
        <v/>
      </c>
      <c r="E169" t="str">
        <f>"44664.075"</f>
        <v>44664.075</v>
      </c>
      <c r="F169" t="str">
        <f>""</f>
        <v/>
      </c>
      <c r="G169" t="str">
        <f t="shared" si="16"/>
        <v>0.001</v>
      </c>
      <c r="H169" t="str">
        <f>"1.378"</f>
        <v>1.378</v>
      </c>
      <c r="I169" t="str">
        <f>"  41             :    29  3d6.(3P2).4s.4p.(3P*) 5D*  "</f>
        <v xml:space="preserve">  41             :    29  3d6.(3P2).4s.4p.(3P*) 5D*  </v>
      </c>
      <c r="J169" t="str">
        <f>""</f>
        <v/>
      </c>
    </row>
    <row r="170" spans="1:10">
      <c r="A170" s="1" t="str">
        <f t="shared" si="17"/>
        <v>3d6.(3F2).4s.4p.(3P*)</v>
      </c>
      <c r="B170" t="str">
        <f>"v 5D*"</f>
        <v>v 5D*</v>
      </c>
      <c r="C170" t="str">
        <f>"1"</f>
        <v>1</v>
      </c>
      <c r="D170" t="str">
        <f>""</f>
        <v/>
      </c>
      <c r="E170" t="str">
        <f>"44760.746"</f>
        <v>44760.746</v>
      </c>
      <c r="F170" t="str">
        <f>""</f>
        <v/>
      </c>
      <c r="G170" t="str">
        <f t="shared" si="16"/>
        <v>0.001</v>
      </c>
      <c r="H170" t="str">
        <f>"1.389"</f>
        <v>1.389</v>
      </c>
      <c r="I170" t="str">
        <f>"  40             :    28  3d6.(3P2).4s.4p.(3P*) 5D*  "</f>
        <v xml:space="preserve">  40             :    28  3d6.(3P2).4s.4p.(3P*) 5D*  </v>
      </c>
      <c r="J170" t="str">
        <f>""</f>
        <v/>
      </c>
    </row>
    <row r="171" spans="1:10">
      <c r="A171" s="1" t="str">
        <f t="shared" si="17"/>
        <v>3d6.(3F2).4s.4p.(3P*)</v>
      </c>
      <c r="B171" t="str">
        <f>"v 5D*"</f>
        <v>v 5D*</v>
      </c>
      <c r="C171" t="str">
        <f>"0"</f>
        <v>0</v>
      </c>
      <c r="D171" t="str">
        <f>""</f>
        <v/>
      </c>
      <c r="E171" t="str">
        <f>"44826.900"</f>
        <v>44826.900</v>
      </c>
      <c r="F171" t="str">
        <f>""</f>
        <v/>
      </c>
      <c r="G171" t="str">
        <f>"0.002"</f>
        <v>0.002</v>
      </c>
      <c r="H171" t="str">
        <f>""</f>
        <v/>
      </c>
      <c r="I171" t="str">
        <f>"  60             :    25  3d6.(3P2).4s.4p.(3P*) 5D*  "</f>
        <v xml:space="preserve">  60             :    25  3d6.(3P2).4s.4p.(3P*) 5D*  </v>
      </c>
      <c r="J171" t="str">
        <f>""</f>
        <v/>
      </c>
    </row>
    <row r="172" spans="1:10">
      <c r="A172" s="1" t="str">
        <f t="shared" si="17"/>
        <v>3d6.(3F2).4s.4p.(3P*)</v>
      </c>
      <c r="B172" t="str">
        <f>"w 5F*"</f>
        <v>w 5F*</v>
      </c>
      <c r="C172" t="str">
        <f>"5"</f>
        <v>5</v>
      </c>
      <c r="D172" t="str">
        <f>""</f>
        <v/>
      </c>
      <c r="E172" t="str">
        <f>"44243.685"</f>
        <v>44243.685</v>
      </c>
      <c r="F172" t="str">
        <f>""</f>
        <v/>
      </c>
      <c r="G172" t="str">
        <f>"0.002"</f>
        <v>0.002</v>
      </c>
      <c r="H172" t="str">
        <f>"1.382"</f>
        <v>1.382</v>
      </c>
      <c r="I172" t="str">
        <f>"  84             :     4  3d6.(3D).4s.4p.(3P*)  5F*  "</f>
        <v xml:space="preserve">  84             :     4  3d6.(3D).4s.4p.(3P*)  5F*  </v>
      </c>
      <c r="J172" t="str">
        <f>""</f>
        <v/>
      </c>
    </row>
    <row r="173" spans="1:10">
      <c r="A173" s="1" t="str">
        <f t="shared" si="17"/>
        <v>3d6.(3F2).4s.4p.(3P*)</v>
      </c>
      <c r="B173" t="str">
        <f>"w 5F*"</f>
        <v>w 5F*</v>
      </c>
      <c r="C173" t="str">
        <f>"2"</f>
        <v>2</v>
      </c>
      <c r="D173" t="str">
        <f>""</f>
        <v/>
      </c>
      <c r="E173" t="str">
        <f>"44285.454"</f>
        <v>44285.454</v>
      </c>
      <c r="F173" t="str">
        <f>""</f>
        <v/>
      </c>
      <c r="G173" t="str">
        <f>"0.002"</f>
        <v>0.002</v>
      </c>
      <c r="H173" t="str">
        <f>"1.117"</f>
        <v>1.117</v>
      </c>
      <c r="I173" t="str">
        <f>"  59             :    10  3d6.(3F2).4s.4p.(3P*) 5D*  "</f>
        <v xml:space="preserve">  59             :    10  3d6.(3F2).4s.4p.(3P*) 5D*  </v>
      </c>
      <c r="J173" t="str">
        <f>""</f>
        <v/>
      </c>
    </row>
    <row r="174" spans="1:10">
      <c r="A174" s="1" t="str">
        <f t="shared" si="17"/>
        <v>3d6.(3F2).4s.4p.(3P*)</v>
      </c>
      <c r="B174" t="str">
        <f>"w 5F*"</f>
        <v>w 5F*</v>
      </c>
      <c r="C174" t="str">
        <f>"1"</f>
        <v>1</v>
      </c>
      <c r="D174" t="str">
        <f>""</f>
        <v/>
      </c>
      <c r="E174" t="str">
        <f>"44378.342"</f>
        <v>44378.342</v>
      </c>
      <c r="F174" t="str">
        <f>""</f>
        <v/>
      </c>
      <c r="G174" t="str">
        <f>"0.002"</f>
        <v>0.002</v>
      </c>
      <c r="H174" t="str">
        <f>"0.283"</f>
        <v>0.283</v>
      </c>
      <c r="I174" t="str">
        <f>"  81             :     6  3d6.(3D).4s.4p.(3P*)  5F*  "</f>
        <v xml:space="preserve">  81             :     6  3d6.(3D).4s.4p.(3P*)  5F*  </v>
      </c>
      <c r="J174" t="str">
        <f>""</f>
        <v/>
      </c>
    </row>
    <row r="175" spans="1:10">
      <c r="A175" s="1" t="str">
        <f t="shared" si="17"/>
        <v>3d6.(3F2).4s.4p.(3P*)</v>
      </c>
      <c r="B175" t="str">
        <f>"w 5F*"</f>
        <v>w 5F*</v>
      </c>
      <c r="C175" t="str">
        <f>"4"</f>
        <v>4</v>
      </c>
      <c r="D175" t="str">
        <f>""</f>
        <v/>
      </c>
      <c r="E175" t="str">
        <f>"44415.074"</f>
        <v>44415.074</v>
      </c>
      <c r="F175" t="str">
        <f>""</f>
        <v/>
      </c>
      <c r="G175" t="str">
        <f>"0.001"</f>
        <v>0.001</v>
      </c>
      <c r="H175" t="str">
        <f>"1.401"</f>
        <v>1.401</v>
      </c>
      <c r="I175" t="str">
        <f>"  62             :    18  3d6.(3F2).4s.4p.(3P*) 5D*  "</f>
        <v xml:space="preserve">  62             :    18  3d6.(3F2).4s.4p.(3P*) 5D*  </v>
      </c>
      <c r="J175" t="str">
        <f>""</f>
        <v/>
      </c>
    </row>
    <row r="176" spans="1:10">
      <c r="A176" s="1" t="str">
        <f t="shared" si="17"/>
        <v>3d6.(3F2).4s.4p.(3P*)</v>
      </c>
      <c r="B176" t="str">
        <f>"w 5F*"</f>
        <v>w 5F*</v>
      </c>
      <c r="C176" t="str">
        <f>"3"</f>
        <v>3</v>
      </c>
      <c r="D176" t="str">
        <f>""</f>
        <v/>
      </c>
      <c r="E176" t="str">
        <f>"44551.335"</f>
        <v>44551.335</v>
      </c>
      <c r="F176" t="str">
        <f>""</f>
        <v/>
      </c>
      <c r="G176" t="str">
        <f>"0.002"</f>
        <v>0.002</v>
      </c>
      <c r="H176" t="str">
        <f>"1.386"</f>
        <v>1.386</v>
      </c>
      <c r="I176" t="str">
        <f>"  45             :    26  3d6.(3F2).4s.4p.(3P*) 5D*  "</f>
        <v xml:space="preserve">  45             :    26  3d6.(3F2).4s.4p.(3P*) 5D*  </v>
      </c>
      <c r="J176" t="str">
        <f>""</f>
        <v/>
      </c>
    </row>
    <row r="177" spans="1:10">
      <c r="A177" s="1" t="str">
        <f>"3d7.(4P).4p"</f>
        <v>3d7.(4P).4p</v>
      </c>
      <c r="B177" t="str">
        <f>"y 5S*"</f>
        <v>y 5S*</v>
      </c>
      <c r="C177" t="str">
        <f>"2"</f>
        <v>2</v>
      </c>
      <c r="D177" t="str">
        <f>""</f>
        <v/>
      </c>
      <c r="E177" t="str">
        <f>"44511.812"</f>
        <v>44511.812</v>
      </c>
      <c r="F177" t="str">
        <f>""</f>
        <v/>
      </c>
      <c r="G177" t="str">
        <f t="shared" ref="G177:G188" si="18">"0.001"</f>
        <v>0.001</v>
      </c>
      <c r="H177" t="str">
        <f>"1.888"</f>
        <v>1.888</v>
      </c>
      <c r="I177" t="str">
        <f>"  38             :    32  3d6.(3P2).4s.4p.(3P*) 5S*  "</f>
        <v xml:space="preserve">  38             :    32  3d6.(3P2).4s.4p.(3P*) 5S*  </v>
      </c>
      <c r="J177" t="str">
        <f>""</f>
        <v/>
      </c>
    </row>
    <row r="178" spans="1:10">
      <c r="A178" s="1" t="str">
        <f>"3d6.(5D).4s (6D).5s"</f>
        <v>3d6.(5D).4s (6D).5s</v>
      </c>
      <c r="B178" t="str">
        <f>"e 5D"</f>
        <v>e 5D</v>
      </c>
      <c r="C178" t="str">
        <f>"4"</f>
        <v>4</v>
      </c>
      <c r="D178" t="str">
        <f>""</f>
        <v/>
      </c>
      <c r="E178" t="str">
        <f>"44677.006"</f>
        <v>44677.006</v>
      </c>
      <c r="F178" t="str">
        <f>""</f>
        <v/>
      </c>
      <c r="G178" t="str">
        <f t="shared" si="18"/>
        <v>0.001</v>
      </c>
      <c r="H178" t="str">
        <f>"1.502"</f>
        <v>1.502</v>
      </c>
      <c r="I178" t="str">
        <f>"                                                     "</f>
        <v xml:space="preserve">                                                     </v>
      </c>
      <c r="J178" t="str">
        <f>""</f>
        <v/>
      </c>
    </row>
    <row r="179" spans="1:10">
      <c r="A179" s="1" t="str">
        <f>"3d6.(5D).4s (6D).5s"</f>
        <v>3d6.(5D).4s (6D).5s</v>
      </c>
      <c r="B179" t="str">
        <f>"e 5D"</f>
        <v>e 5D</v>
      </c>
      <c r="C179" t="str">
        <f>"3"</f>
        <v>3</v>
      </c>
      <c r="D179" t="str">
        <f>""</f>
        <v/>
      </c>
      <c r="E179" t="str">
        <f>"45061.329"</f>
        <v>45061.329</v>
      </c>
      <c r="F179" t="str">
        <f>""</f>
        <v/>
      </c>
      <c r="G179" t="str">
        <f t="shared" si="18"/>
        <v>0.001</v>
      </c>
      <c r="H179" t="str">
        <f>"1.508"</f>
        <v>1.508</v>
      </c>
      <c r="I179" t="str">
        <f>"                                                     "</f>
        <v xml:space="preserve">                                                     </v>
      </c>
      <c r="J179" t="str">
        <f>""</f>
        <v/>
      </c>
    </row>
    <row r="180" spans="1:10">
      <c r="A180" s="1" t="str">
        <f>"3d6.(5D).4s (6D).5s"</f>
        <v>3d6.(5D).4s (6D).5s</v>
      </c>
      <c r="B180" t="str">
        <f>"e 5D"</f>
        <v>e 5D</v>
      </c>
      <c r="C180" t="str">
        <f>"2"</f>
        <v>2</v>
      </c>
      <c r="D180" t="str">
        <f>""</f>
        <v/>
      </c>
      <c r="E180" t="str">
        <f>"45333.875"</f>
        <v>45333.875</v>
      </c>
      <c r="F180" t="str">
        <f>""</f>
        <v/>
      </c>
      <c r="G180" t="str">
        <f t="shared" si="18"/>
        <v>0.001</v>
      </c>
      <c r="H180" t="str">
        <f>"1.503"</f>
        <v>1.503</v>
      </c>
      <c r="I180" t="str">
        <f>"                                                     "</f>
        <v xml:space="preserve">                                                     </v>
      </c>
      <c r="J180" t="str">
        <f>""</f>
        <v/>
      </c>
    </row>
    <row r="181" spans="1:10">
      <c r="A181" s="1" t="str">
        <f>"3d6.(5D).4s (6D).5s"</f>
        <v>3d6.(5D).4s (6D).5s</v>
      </c>
      <c r="B181" t="str">
        <f>"e 5D"</f>
        <v>e 5D</v>
      </c>
      <c r="C181" t="str">
        <f>"1"</f>
        <v>1</v>
      </c>
      <c r="D181" t="str">
        <f>""</f>
        <v/>
      </c>
      <c r="E181" t="str">
        <f>"45509.152"</f>
        <v>45509.152</v>
      </c>
      <c r="F181" t="str">
        <f>""</f>
        <v/>
      </c>
      <c r="G181" t="str">
        <f t="shared" si="18"/>
        <v>0.001</v>
      </c>
      <c r="H181" t="str">
        <f>"1.518"</f>
        <v>1.518</v>
      </c>
      <c r="I181" t="str">
        <f>"                                                     "</f>
        <v xml:space="preserve">                                                     </v>
      </c>
      <c r="J181" t="str">
        <f>""</f>
        <v/>
      </c>
    </row>
    <row r="182" spans="1:10">
      <c r="A182" s="1" t="str">
        <f>"3d6.(5D).4s (6D).5s"</f>
        <v>3d6.(5D).4s (6D).5s</v>
      </c>
      <c r="B182" t="str">
        <f>"e 5D"</f>
        <v>e 5D</v>
      </c>
      <c r="C182" t="str">
        <f>"0"</f>
        <v>0</v>
      </c>
      <c r="D182" t="str">
        <f>""</f>
        <v/>
      </c>
      <c r="E182" t="str">
        <f>"45595.086"</f>
        <v>45595.086</v>
      </c>
      <c r="F182" t="str">
        <f>""</f>
        <v/>
      </c>
      <c r="G182" t="str">
        <f t="shared" si="18"/>
        <v>0.001</v>
      </c>
      <c r="H182" t="str">
        <f>""</f>
        <v/>
      </c>
      <c r="I182" t="str">
        <f>"                                                     "</f>
        <v xml:space="preserve">                                                     </v>
      </c>
      <c r="J182" t="str">
        <f>""</f>
        <v/>
      </c>
    </row>
    <row r="183" spans="1:10">
      <c r="A183" s="1" t="str">
        <f>"3d6.(3P2).4s.4p.(3P*)"</f>
        <v>3d6.(3P2).4s.4p.(3P*)</v>
      </c>
      <c r="B183" t="str">
        <f>"x 3D*"</f>
        <v>x 3D*</v>
      </c>
      <c r="C183" t="str">
        <f>"3"</f>
        <v>3</v>
      </c>
      <c r="D183" t="str">
        <f>""</f>
        <v/>
      </c>
      <c r="E183" t="str">
        <f>"45220.681"</f>
        <v>45220.681</v>
      </c>
      <c r="F183" t="str">
        <f>""</f>
        <v/>
      </c>
      <c r="G183" t="str">
        <f t="shared" si="18"/>
        <v>0.001</v>
      </c>
      <c r="H183" t="str">
        <f>"1.352"</f>
        <v>1.352</v>
      </c>
      <c r="I183" t="str">
        <f>"  29  3D*        :    29  3d6.(3P2).4s.4p.(3P*) 5D*  "</f>
        <v xml:space="preserve">  29  3D*        :    29  3d6.(3P2).4s.4p.(3P*) 5D*  </v>
      </c>
      <c r="J183" t="str">
        <f>""</f>
        <v/>
      </c>
    </row>
    <row r="184" spans="1:10">
      <c r="A184" s="1" t="str">
        <f>"3d6.(3P2).4s.4p.(3P*)"</f>
        <v>3d6.(3P2).4s.4p.(3P*)</v>
      </c>
      <c r="B184" t="str">
        <f>"x 3D*"</f>
        <v>x 3D*</v>
      </c>
      <c r="C184" t="str">
        <f>"2"</f>
        <v>2</v>
      </c>
      <c r="D184" t="str">
        <f>""</f>
        <v/>
      </c>
      <c r="E184" t="str">
        <f>"45281.833"</f>
        <v>45281.833</v>
      </c>
      <c r="F184" t="str">
        <f>""</f>
        <v/>
      </c>
      <c r="G184" t="str">
        <f t="shared" si="18"/>
        <v>0.001</v>
      </c>
      <c r="H184" t="str">
        <f>"1.200"</f>
        <v>1.200</v>
      </c>
      <c r="I184" t="str">
        <f>"  33  5D*        :    31  3d6.(3P2).4s.4p.(3P*) 3D*  "</f>
        <v xml:space="preserve">  33  5D*        :    31  3d6.(3P2).4s.4p.(3P*) 3D*  </v>
      </c>
      <c r="J184" t="str">
        <f>""</f>
        <v/>
      </c>
    </row>
    <row r="185" spans="1:10">
      <c r="A185" s="1" t="str">
        <f>"3d6.(3P2).4s.4p.(3P*)"</f>
        <v>3d6.(3P2).4s.4p.(3P*)</v>
      </c>
      <c r="B185" t="str">
        <f>"x 3D*"</f>
        <v>x 3D*</v>
      </c>
      <c r="C185" t="str">
        <f>"1"</f>
        <v>1</v>
      </c>
      <c r="D185" t="str">
        <f>""</f>
        <v/>
      </c>
      <c r="E185" t="str">
        <f>"45551.767"</f>
        <v>45551.767</v>
      </c>
      <c r="F185" t="str">
        <f>""</f>
        <v/>
      </c>
      <c r="G185" t="str">
        <f t="shared" si="18"/>
        <v>0.001</v>
      </c>
      <c r="H185" t="str">
        <f>"0.556"</f>
        <v>0.556</v>
      </c>
      <c r="I185" t="str">
        <f>"  32  5D*        :    30  3d6.(3P2).4s.4p.(3P*) 3D*  "</f>
        <v xml:space="preserve">  32  5D*        :    30  3d6.(3P2).4s.4p.(3P*) 3D*  </v>
      </c>
      <c r="J185" t="str">
        <f>""</f>
        <v/>
      </c>
    </row>
    <row r="186" spans="1:10">
      <c r="A186" s="1" t="str">
        <f>"3d6.(3H).4s.4p.(3P*)"</f>
        <v>3d6.(3H).4s.4p.(3P*)</v>
      </c>
      <c r="B186" t="str">
        <f>"y 3G*"</f>
        <v>y 3G*</v>
      </c>
      <c r="C186" t="str">
        <f>"5"</f>
        <v>5</v>
      </c>
      <c r="D186" t="str">
        <f>""</f>
        <v/>
      </c>
      <c r="E186" t="str">
        <f>"45294.846"</f>
        <v>45294.846</v>
      </c>
      <c r="F186" t="str">
        <f>""</f>
        <v/>
      </c>
      <c r="G186" t="str">
        <f t="shared" si="18"/>
        <v>0.001</v>
      </c>
      <c r="H186" t="str">
        <f>"1.207"</f>
        <v>1.207</v>
      </c>
      <c r="I186" t="str">
        <f>"  57             :    21  3d7.(2G).4p           3G*  "</f>
        <v xml:space="preserve">  57             :    21  3d7.(2G).4p           3G*  </v>
      </c>
      <c r="J186" t="str">
        <f>""</f>
        <v/>
      </c>
    </row>
    <row r="187" spans="1:10">
      <c r="A187" s="1" t="str">
        <f>"3d6.(3H).4s.4p.(3P*)"</f>
        <v>3d6.(3H).4s.4p.(3P*)</v>
      </c>
      <c r="B187" t="str">
        <f>"y 3G*"</f>
        <v>y 3G*</v>
      </c>
      <c r="C187" t="str">
        <f>"4"</f>
        <v>4</v>
      </c>
      <c r="D187" t="str">
        <f>""</f>
        <v/>
      </c>
      <c r="E187" t="str">
        <f>"45428.402"</f>
        <v>45428.402</v>
      </c>
      <c r="F187" t="str">
        <f>""</f>
        <v/>
      </c>
      <c r="G187" t="str">
        <f t="shared" si="18"/>
        <v>0.001</v>
      </c>
      <c r="H187" t="str">
        <f>"1.053"</f>
        <v>1.053</v>
      </c>
      <c r="I187" t="str">
        <f>"  55             :    20  3d7.(2G).4p           3G*  "</f>
        <v xml:space="preserve">  55             :    20  3d7.(2G).4p           3G*  </v>
      </c>
      <c r="J187" t="str">
        <f>""</f>
        <v/>
      </c>
    </row>
    <row r="188" spans="1:10">
      <c r="A188" s="1" t="str">
        <f>"3d6.(3H).4s.4p.(3P*)"</f>
        <v>3d6.(3H).4s.4p.(3P*)</v>
      </c>
      <c r="B188" t="str">
        <f>"y 3G*"</f>
        <v>y 3G*</v>
      </c>
      <c r="C188" t="str">
        <f>"3"</f>
        <v>3</v>
      </c>
      <c r="D188" t="str">
        <f>""</f>
        <v/>
      </c>
      <c r="E188" t="str">
        <f>"45562.974"</f>
        <v>45562.974</v>
      </c>
      <c r="F188" t="str">
        <f>""</f>
        <v/>
      </c>
      <c r="G188" t="str">
        <f t="shared" si="18"/>
        <v>0.001</v>
      </c>
      <c r="H188" t="str">
        <f>"0.765"</f>
        <v>0.765</v>
      </c>
      <c r="I188" t="str">
        <f>"  54             :    19  3d7.(2G).4p           3G*  "</f>
        <v xml:space="preserve">  54             :    19  3d7.(2G).4p           3G*  </v>
      </c>
      <c r="J188" t="str">
        <f>""</f>
        <v/>
      </c>
    </row>
    <row r="189" spans="1:10">
      <c r="A189" s="1" t="str">
        <f>"3d6.(3F2).4s.4p.(3P*)"</f>
        <v>3d6.(3F2).4s.4p.(3P*)</v>
      </c>
      <c r="B189" t="str">
        <f>"x 5G*"</f>
        <v>x 5G*</v>
      </c>
      <c r="C189" t="str">
        <f>"6"</f>
        <v>6</v>
      </c>
      <c r="D189" t="str">
        <f>""</f>
        <v/>
      </c>
      <c r="E189" t="str">
        <f>"45608.361"</f>
        <v>45608.361</v>
      </c>
      <c r="F189" t="str">
        <f>""</f>
        <v/>
      </c>
      <c r="G189" t="str">
        <f>"0.002"</f>
        <v>0.002</v>
      </c>
      <c r="H189" t="str">
        <f>"1.336"</f>
        <v>1.336</v>
      </c>
      <c r="I189" t="str">
        <f>"  65             :    30  3d6.(3H).4s.4p.(3P*)  5G*  "</f>
        <v xml:space="preserve">  65             :    30  3d6.(3H).4s.4p.(3P*)  5G*  </v>
      </c>
      <c r="J189" t="str">
        <f>""</f>
        <v/>
      </c>
    </row>
    <row r="190" spans="1:10">
      <c r="A190" s="1" t="str">
        <f>"3d6.(3F2).4s.4p.(3P*)"</f>
        <v>3d6.(3F2).4s.4p.(3P*)</v>
      </c>
      <c r="B190" t="str">
        <f>"x 5G*"</f>
        <v>x 5G*</v>
      </c>
      <c r="C190" t="str">
        <f>"5"</f>
        <v>5</v>
      </c>
      <c r="D190" t="str">
        <f>""</f>
        <v/>
      </c>
      <c r="E190" t="str">
        <f>"45726.130"</f>
        <v>45726.130</v>
      </c>
      <c r="F190" t="str">
        <f>""</f>
        <v/>
      </c>
      <c r="G190" t="str">
        <f>"0.001"</f>
        <v>0.001</v>
      </c>
      <c r="H190" t="str">
        <f>"1.269"</f>
        <v>1.269</v>
      </c>
      <c r="I190" t="str">
        <f>"  60             :    32  3d6.(3H).4s.4p.(3P*)  5G*  "</f>
        <v xml:space="preserve">  60             :    32  3d6.(3H).4s.4p.(3P*)  5G*  </v>
      </c>
      <c r="J190" t="str">
        <f>""</f>
        <v/>
      </c>
    </row>
    <row r="191" spans="1:10">
      <c r="A191" s="1" t="str">
        <f>"3d6.(3F2).4s.4p.(3P*)"</f>
        <v>3d6.(3F2).4s.4p.(3P*)</v>
      </c>
      <c r="B191" t="str">
        <f>"x 5G*"</f>
        <v>x 5G*</v>
      </c>
      <c r="C191" t="str">
        <f>"4"</f>
        <v>4</v>
      </c>
      <c r="D191" t="str">
        <f>""</f>
        <v/>
      </c>
      <c r="E191" t="str">
        <f>"45833.223"</f>
        <v>45833.223</v>
      </c>
      <c r="F191" t="str">
        <f>""</f>
        <v/>
      </c>
      <c r="G191" t="str">
        <f>"0.002"</f>
        <v>0.002</v>
      </c>
      <c r="H191" t="str">
        <f>"1.158"</f>
        <v>1.158</v>
      </c>
      <c r="I191" t="str">
        <f>"  55             :    36  3d6.(3H).4s.4p.(3P*)  5G*  "</f>
        <v xml:space="preserve">  55             :    36  3d6.(3H).4s.4p.(3P*)  5G*  </v>
      </c>
      <c r="J191" t="str">
        <f>""</f>
        <v/>
      </c>
    </row>
    <row r="192" spans="1:10">
      <c r="A192" s="1" t="str">
        <f>"3d6.(3F2).4s.4p.(3P*)"</f>
        <v>3d6.(3F2).4s.4p.(3P*)</v>
      </c>
      <c r="B192" t="str">
        <f>"x 5G*"</f>
        <v>x 5G*</v>
      </c>
      <c r="C192" t="str">
        <f>"3"</f>
        <v>3</v>
      </c>
      <c r="D192" t="str">
        <f>""</f>
        <v/>
      </c>
      <c r="E192" t="str">
        <f>"45913.497"</f>
        <v>45913.497</v>
      </c>
      <c r="F192" t="str">
        <f>""</f>
        <v/>
      </c>
      <c r="G192" t="str">
        <f>"0.003"</f>
        <v>0.003</v>
      </c>
      <c r="H192" t="str">
        <f>"0.928"</f>
        <v>0.928</v>
      </c>
      <c r="I192" t="str">
        <f>"  53             :    40  3d6.(3H).4s.4p.(3P*)  5G*  "</f>
        <v xml:space="preserve">  53             :    40  3d6.(3H).4s.4p.(3P*)  5G*  </v>
      </c>
      <c r="J192" t="str">
        <f>""</f>
        <v/>
      </c>
    </row>
    <row r="193" spans="1:10">
      <c r="A193" s="1" t="str">
        <f>"3d6.(3F2).4s.4p.(3P*)"</f>
        <v>3d6.(3F2).4s.4p.(3P*)</v>
      </c>
      <c r="B193" t="str">
        <f>"x 5G*"</f>
        <v>x 5G*</v>
      </c>
      <c r="C193" t="str">
        <f>"2"</f>
        <v>2</v>
      </c>
      <c r="D193" t="str">
        <f>""</f>
        <v/>
      </c>
      <c r="E193" t="str">
        <f>"45964.957"</f>
        <v>45964.957</v>
      </c>
      <c r="F193" t="str">
        <f>""</f>
        <v/>
      </c>
      <c r="G193" t="str">
        <f>"0.002"</f>
        <v>0.002</v>
      </c>
      <c r="H193" t="str">
        <f>"0.323"</f>
        <v>0.323</v>
      </c>
      <c r="I193" t="str">
        <f>"  52             :    45  3d6.(3H).4s.4p.(3P*)  5G*  "</f>
        <v xml:space="preserve">  52             :    45  3d6.(3H).4s.4p.(3P*)  5G*  </v>
      </c>
      <c r="J193" t="str">
        <f>""</f>
        <v/>
      </c>
    </row>
    <row r="194" spans="1:10">
      <c r="A194" s="1" t="str">
        <f>"3d6.(3H).4s.4p.(3P*)"</f>
        <v>3d6.(3H).4s.4p.(3P*)</v>
      </c>
      <c r="B194" t="str">
        <f>"z 3I*"</f>
        <v>z 3I*</v>
      </c>
      <c r="C194" t="str">
        <f>"7"</f>
        <v>7</v>
      </c>
      <c r="D194" t="str">
        <f>""</f>
        <v/>
      </c>
      <c r="E194" t="str">
        <f>"45978.008"</f>
        <v>45978.008</v>
      </c>
      <c r="F194" t="str">
        <f>""</f>
        <v/>
      </c>
      <c r="G194" t="str">
        <f>"0.002"</f>
        <v>0.002</v>
      </c>
      <c r="H194" t="str">
        <f>"1.149"</f>
        <v>1.149</v>
      </c>
      <c r="I194" t="str">
        <f>"  93             :     3  3d7.(2H).4p           3I*  "</f>
        <v xml:space="preserve">  93             :     3  3d7.(2H).4p           3I*  </v>
      </c>
      <c r="J194" t="str">
        <f>""</f>
        <v/>
      </c>
    </row>
    <row r="195" spans="1:10">
      <c r="A195" s="1" t="str">
        <f>"3d6.(3H).4s.4p.(3P*)"</f>
        <v>3d6.(3H).4s.4p.(3P*)</v>
      </c>
      <c r="B195" t="str">
        <f>"z 3I*"</f>
        <v>z 3I*</v>
      </c>
      <c r="C195" t="str">
        <f>"6"</f>
        <v>6</v>
      </c>
      <c r="D195" t="str">
        <f>""</f>
        <v/>
      </c>
      <c r="E195" t="str">
        <f>"46026.971"</f>
        <v>46026.971</v>
      </c>
      <c r="F195" t="str">
        <f>""</f>
        <v/>
      </c>
      <c r="G195" t="str">
        <f>"0.002"</f>
        <v>0.002</v>
      </c>
      <c r="H195" t="str">
        <f>"1.040"</f>
        <v>1.040</v>
      </c>
      <c r="I195" t="str">
        <f>"  91             :     3  3d7.(2H).4p           3I*  "</f>
        <v xml:space="preserve">  91             :     3  3d7.(2H).4p           3I*  </v>
      </c>
      <c r="J195" t="str">
        <f>""</f>
        <v/>
      </c>
    </row>
    <row r="196" spans="1:10">
      <c r="A196" s="1" t="str">
        <f>"3d6.(3H).4s.4p.(3P*)"</f>
        <v>3d6.(3H).4s.4p.(3P*)</v>
      </c>
      <c r="B196" t="str">
        <f>"z 3I*"</f>
        <v>z 3I*</v>
      </c>
      <c r="C196" t="str">
        <f>"5"</f>
        <v>5</v>
      </c>
      <c r="D196" t="str">
        <f>""</f>
        <v/>
      </c>
      <c r="E196" t="str">
        <f>"46135.820"</f>
        <v>46135.820</v>
      </c>
      <c r="F196" t="str">
        <f>""</f>
        <v/>
      </c>
      <c r="G196" t="str">
        <f>"0.002"</f>
        <v>0.002</v>
      </c>
      <c r="H196" t="str">
        <f>"0.833"</f>
        <v>0.833</v>
      </c>
      <c r="I196" t="str">
        <f>"  94             :     4  3d7.(2H).4p           3I*  "</f>
        <v xml:space="preserve">  94             :     4  3d7.(2H).4p           3I*  </v>
      </c>
      <c r="J196" t="str">
        <f>""</f>
        <v/>
      </c>
    </row>
    <row r="197" spans="1:10">
      <c r="A197" s="1" t="str">
        <f>"3d7.(4P).4p"</f>
        <v>3d7.(4P).4p</v>
      </c>
      <c r="B197" t="str">
        <f>"w 5P*"</f>
        <v>w 5P*</v>
      </c>
      <c r="C197" t="str">
        <f>"3"</f>
        <v>3</v>
      </c>
      <c r="D197" t="str">
        <f>""</f>
        <v/>
      </c>
      <c r="E197" t="str">
        <f>"46137.097"</f>
        <v>46137.097</v>
      </c>
      <c r="F197" t="str">
        <f>""</f>
        <v/>
      </c>
      <c r="G197" t="str">
        <f>"0.001"</f>
        <v>0.001</v>
      </c>
      <c r="H197" t="str">
        <f>"1.658"</f>
        <v>1.658</v>
      </c>
      <c r="I197" t="str">
        <f>"  45             :    35  3d5.(6S).4s2.4p       5P*  "</f>
        <v xml:space="preserve">  45             :    35  3d5.(6S).4s2.4p       5P*  </v>
      </c>
      <c r="J197" t="str">
        <f>""</f>
        <v/>
      </c>
    </row>
    <row r="198" spans="1:10">
      <c r="A198" s="1" t="str">
        <f>"3d7.(4P).4p"</f>
        <v>3d7.(4P).4p</v>
      </c>
      <c r="B198" t="str">
        <f>"w 5P*"</f>
        <v>w 5P*</v>
      </c>
      <c r="C198" t="str">
        <f>"2"</f>
        <v>2</v>
      </c>
      <c r="D198" t="str">
        <f>""</f>
        <v/>
      </c>
      <c r="E198" t="str">
        <f>"46313.537"</f>
        <v>46313.537</v>
      </c>
      <c r="F198" t="str">
        <f>""</f>
        <v/>
      </c>
      <c r="G198" t="str">
        <f>"0.001"</f>
        <v>0.001</v>
      </c>
      <c r="H198" t="str">
        <f>"1.822"</f>
        <v>1.822</v>
      </c>
      <c r="I198" t="str">
        <f>"  41             :    31  3d5.(6S).4s2.4p       5P*  "</f>
        <v xml:space="preserve">  41             :    31  3d5.(6S).4s2.4p       5P*  </v>
      </c>
      <c r="J198" t="str">
        <f>""</f>
        <v/>
      </c>
    </row>
    <row r="199" spans="1:10">
      <c r="A199" s="1" t="str">
        <f>"3d7.(4P).4p"</f>
        <v>3d7.(4P).4p</v>
      </c>
      <c r="B199" t="str">
        <f>"w 5P*"</f>
        <v>w 5P*</v>
      </c>
      <c r="C199" t="str">
        <f>"1"</f>
        <v>1</v>
      </c>
      <c r="D199" t="str">
        <f>""</f>
        <v/>
      </c>
      <c r="E199" t="str">
        <f>"46410.381"</f>
        <v>46410.381</v>
      </c>
      <c r="F199" t="str">
        <f>""</f>
        <v/>
      </c>
      <c r="G199" t="str">
        <f>"0.002"</f>
        <v>0.002</v>
      </c>
      <c r="H199" t="str">
        <f>"2.436"</f>
        <v>2.436</v>
      </c>
      <c r="I199" t="str">
        <f>"  38             :    20  3d5.(6S).4s2.4p       5P*  "</f>
        <v xml:space="preserve">  38             :    20  3d5.(6S).4s2.4p       5P*  </v>
      </c>
      <c r="J199" t="str">
        <f>""</f>
        <v/>
      </c>
    </row>
    <row r="200" spans="1:10">
      <c r="A200" s="1" t="str">
        <f>"3d6.(3P2).4s.4p.(3P*)"</f>
        <v>3d6.(3P2).4s.4p.(3P*)</v>
      </c>
      <c r="B200" t="str">
        <f>"z 3S*"</f>
        <v>z 3S*</v>
      </c>
      <c r="C200" t="str">
        <f>"1"</f>
        <v>1</v>
      </c>
      <c r="D200" t="str">
        <f>""</f>
        <v/>
      </c>
      <c r="E200" t="str">
        <f>"46600.818"</f>
        <v>46600.818</v>
      </c>
      <c r="F200" t="str">
        <f>""</f>
        <v/>
      </c>
      <c r="G200" t="str">
        <f>"0.001"</f>
        <v>0.001</v>
      </c>
      <c r="H200" t="str">
        <f>"1.888"</f>
        <v>1.888</v>
      </c>
      <c r="I200" t="str">
        <f>"  49             :    14  3d7.(2P).4p           3S*  "</f>
        <v xml:space="preserve">  49             :    14  3d7.(2P).4p           3S*  </v>
      </c>
      <c r="J200" t="str">
        <f>""</f>
        <v/>
      </c>
    </row>
    <row r="201" spans="1:10">
      <c r="A201" s="1" t="str">
        <f>"3d6.(3P2).4s.4p.(3P*)"</f>
        <v>3d6.(3P2).4s.4p.(3P*)</v>
      </c>
      <c r="B201" t="str">
        <f>"y 3P*"</f>
        <v>y 3P*</v>
      </c>
      <c r="C201" t="str">
        <f>"0"</f>
        <v>0</v>
      </c>
      <c r="D201" t="str">
        <f>""</f>
        <v/>
      </c>
      <c r="E201" t="str">
        <f>"46672.540"</f>
        <v>46672.540</v>
      </c>
      <c r="F201" t="str">
        <f>""</f>
        <v/>
      </c>
      <c r="G201" t="str">
        <f>"0.003"</f>
        <v>0.003</v>
      </c>
      <c r="H201" t="str">
        <f>""</f>
        <v/>
      </c>
      <c r="I201" t="str">
        <f>"  37             :    24  3d7.(4P).4p           3P*  "</f>
        <v xml:space="preserve">  37             :    24  3d7.(4P).4p           3P*  </v>
      </c>
      <c r="J201" t="str">
        <f>""</f>
        <v/>
      </c>
    </row>
    <row r="202" spans="1:10">
      <c r="A202" s="1" t="str">
        <f>"3d6.(3P2).4s.4p.(3P*)"</f>
        <v>3d6.(3P2).4s.4p.(3P*)</v>
      </c>
      <c r="B202" t="str">
        <f>"y 3P*"</f>
        <v>y 3P*</v>
      </c>
      <c r="C202" t="str">
        <f>"2"</f>
        <v>2</v>
      </c>
      <c r="D202" t="str">
        <f>""</f>
        <v/>
      </c>
      <c r="E202" t="str">
        <f>"46727.074"</f>
        <v>46727.074</v>
      </c>
      <c r="F202" t="str">
        <f>""</f>
        <v/>
      </c>
      <c r="G202" t="str">
        <f>"0.001"</f>
        <v>0.001</v>
      </c>
      <c r="H202" t="str">
        <f>"1.444"</f>
        <v>1.444</v>
      </c>
      <c r="I202" t="str">
        <f>"  32             :    36  3d7.(4P).4p           3P*  "</f>
        <v xml:space="preserve">  32             :    36  3d7.(4P).4p           3P*  </v>
      </c>
      <c r="J202" t="str">
        <f>""</f>
        <v/>
      </c>
    </row>
    <row r="203" spans="1:10">
      <c r="A203" s="1" t="str">
        <f>"3d6.(3P2).4s.4p.(3P*)"</f>
        <v>3d6.(3P2).4s.4p.(3P*)</v>
      </c>
      <c r="B203" t="str">
        <f>"y 3P*"</f>
        <v>y 3P*</v>
      </c>
      <c r="C203" t="str">
        <f>"1"</f>
        <v>1</v>
      </c>
      <c r="D203" t="str">
        <f>""</f>
        <v/>
      </c>
      <c r="E203" t="str">
        <f>"46901.832"</f>
        <v>46901.832</v>
      </c>
      <c r="F203" t="str">
        <f>""</f>
        <v/>
      </c>
      <c r="G203" t="str">
        <f>"0.001"</f>
        <v>0.001</v>
      </c>
      <c r="H203" t="str">
        <f>"1.600"</f>
        <v>1.600</v>
      </c>
      <c r="I203" t="str">
        <f>"  31             :    21  3d7.(4P).4p           3P*  "</f>
        <v xml:space="preserve">  31             :    21  3d7.(4P).4p           3P*  </v>
      </c>
      <c r="J203" t="str">
        <f>""</f>
        <v/>
      </c>
    </row>
    <row r="204" spans="1:10">
      <c r="A204" s="1" t="str">
        <f>"3d7.(4P).4p"</f>
        <v>3d7.(4P).4p</v>
      </c>
      <c r="B204" t="str">
        <f>"u 5D*"</f>
        <v>u 5D*</v>
      </c>
      <c r="C204" t="str">
        <f>"4"</f>
        <v>4</v>
      </c>
      <c r="D204" t="str">
        <f>""</f>
        <v/>
      </c>
      <c r="E204" t="str">
        <f>"46720.842"</f>
        <v>46720.842</v>
      </c>
      <c r="F204" t="str">
        <f>""</f>
        <v/>
      </c>
      <c r="G204" t="str">
        <f>"0.001"</f>
        <v>0.001</v>
      </c>
      <c r="H204" t="str">
        <f>"1.341"</f>
        <v>1.341</v>
      </c>
      <c r="I204" t="str">
        <f>"  50             :    17  3d6.(3F2).4s.4p.(3P*) 5D*  "</f>
        <v xml:space="preserve">  50             :    17  3d6.(3F2).4s.4p.(3P*) 5D*  </v>
      </c>
      <c r="J204" t="str">
        <f>""</f>
        <v/>
      </c>
    </row>
    <row r="205" spans="1:10">
      <c r="A205" s="1" t="str">
        <f>"3d7.(4P).4p"</f>
        <v>3d7.(4P).4p</v>
      </c>
      <c r="B205" t="str">
        <f>"u 5D*"</f>
        <v>u 5D*</v>
      </c>
      <c r="C205" t="str">
        <f>"3"</f>
        <v>3</v>
      </c>
      <c r="D205" t="str">
        <f>""</f>
        <v/>
      </c>
      <c r="E205" t="str">
        <f>"46744.993"</f>
        <v>46744.993</v>
      </c>
      <c r="F205" t="str">
        <f>""</f>
        <v/>
      </c>
      <c r="G205" t="str">
        <f>"0.001"</f>
        <v>0.001</v>
      </c>
      <c r="H205" t="str">
        <f>"1.397"</f>
        <v>1.397</v>
      </c>
      <c r="I205" t="str">
        <f>"  54             :    14  3d6.(3F2).4s.4p.(3P*) 5D*  "</f>
        <v xml:space="preserve">  54             :    14  3d6.(3F2).4s.4p.(3P*) 5D*  </v>
      </c>
      <c r="J205" t="str">
        <f>""</f>
        <v/>
      </c>
    </row>
    <row r="206" spans="1:10">
      <c r="A206" s="1" t="str">
        <f>"3d7.(4P).4p"</f>
        <v>3d7.(4P).4p</v>
      </c>
      <c r="B206" t="str">
        <f>"u 5D*"</f>
        <v>u 5D*</v>
      </c>
      <c r="C206" t="str">
        <f>"2"</f>
        <v>2</v>
      </c>
      <c r="D206" t="str">
        <f>""</f>
        <v/>
      </c>
      <c r="E206" t="str">
        <f>"46888.517"</f>
        <v>46888.517</v>
      </c>
      <c r="F206" t="str">
        <f>""</f>
        <v/>
      </c>
      <c r="G206" t="str">
        <f>"0.001"</f>
        <v>0.001</v>
      </c>
      <c r="H206" t="str">
        <f>"1.260"</f>
        <v>1.260</v>
      </c>
      <c r="I206" t="str">
        <f>"  51             :    15  3d6.(3F2).4s.4p.(3P*) 3D*  "</f>
        <v xml:space="preserve">  51             :    15  3d6.(3F2).4s.4p.(3P*) 3D*  </v>
      </c>
      <c r="J206" t="str">
        <f>""</f>
        <v/>
      </c>
    </row>
    <row r="207" spans="1:10">
      <c r="A207" s="1" t="str">
        <f>"3d7.(4P).4p"</f>
        <v>3d7.(4P).4p</v>
      </c>
      <c r="B207" t="str">
        <f>"u 5D*"</f>
        <v>u 5D*</v>
      </c>
      <c r="C207" t="str">
        <f>"0"</f>
        <v>0</v>
      </c>
      <c r="D207" t="str">
        <f>""</f>
        <v/>
      </c>
      <c r="E207" t="str">
        <f>"47171.531"</f>
        <v>47171.531</v>
      </c>
      <c r="F207" t="str">
        <f>""</f>
        <v/>
      </c>
      <c r="G207" t="str">
        <f>"0.002"</f>
        <v>0.002</v>
      </c>
      <c r="H207" t="str">
        <f>""</f>
        <v/>
      </c>
      <c r="I207" t="str">
        <f>"  52             :    20  3d6.(3F2).4s.4p.(3P*) 5D*  "</f>
        <v xml:space="preserve">  52             :    20  3d6.(3F2).4s.4p.(3P*) 5D*  </v>
      </c>
      <c r="J207" t="str">
        <f>""</f>
        <v/>
      </c>
    </row>
    <row r="208" spans="1:10">
      <c r="A208" s="1" t="str">
        <f>"3d7.(4P).4p"</f>
        <v>3d7.(4P).4p</v>
      </c>
      <c r="B208" t="str">
        <f>"u 5D*"</f>
        <v>u 5D*</v>
      </c>
      <c r="C208" t="str">
        <f>"1"</f>
        <v>1</v>
      </c>
      <c r="D208" t="str">
        <f>""</f>
        <v/>
      </c>
      <c r="E208" t="str">
        <f>"47177.234"</f>
        <v>47177.234</v>
      </c>
      <c r="F208" t="str">
        <f>""</f>
        <v/>
      </c>
      <c r="G208" t="str">
        <f>"0.001"</f>
        <v>0.001</v>
      </c>
      <c r="H208" t="str">
        <f>"1.410"</f>
        <v>1.410</v>
      </c>
      <c r="I208" t="str">
        <f>"  55             :    21  3d6.(3F2).4s.4p.(3P*) 5D*  "</f>
        <v xml:space="preserve">  55             :    21  3d6.(3F2).4s.4p.(3P*) 5D*  </v>
      </c>
      <c r="J208" t="str">
        <f>""</f>
        <v/>
      </c>
    </row>
    <row r="209" spans="1:10">
      <c r="A209" s="1" t="str">
        <f>"3d6.(3F2).4s.4p.(3P*)"</f>
        <v>3d6.(3F2).4s.4p.(3P*)</v>
      </c>
      <c r="B209" t="str">
        <f>"x 3F*"</f>
        <v>x 3F*</v>
      </c>
      <c r="C209" t="str">
        <f>"4"</f>
        <v>4</v>
      </c>
      <c r="D209" t="str">
        <f>""</f>
        <v/>
      </c>
      <c r="E209" t="str">
        <f>"46889.142"</f>
        <v>46889.142</v>
      </c>
      <c r="F209" t="str">
        <f>""</f>
        <v/>
      </c>
      <c r="G209" t="str">
        <f>"0.001"</f>
        <v>0.001</v>
      </c>
      <c r="H209" t="str">
        <f>"1.344"</f>
        <v>1.344</v>
      </c>
      <c r="I209" t="str">
        <f>"  38             :    17  3d7.(2G).4p           3F*  "</f>
        <v xml:space="preserve">  38             :    17  3d7.(2G).4p           3F*  </v>
      </c>
      <c r="J209" t="str">
        <f>""</f>
        <v/>
      </c>
    </row>
    <row r="210" spans="1:10">
      <c r="A210" s="1" t="str">
        <f>"3d6.(3F2).4s.4p.(3P*)"</f>
        <v>3d6.(3F2).4s.4p.(3P*)</v>
      </c>
      <c r="B210" t="str">
        <f>"x 3F*"</f>
        <v>x 3F*</v>
      </c>
      <c r="C210" t="str">
        <f>"3"</f>
        <v>3</v>
      </c>
      <c r="D210" t="str">
        <f>""</f>
        <v/>
      </c>
      <c r="E210" t="str">
        <f>"47092.712"</f>
        <v>47092.712</v>
      </c>
      <c r="F210" t="str">
        <f>""</f>
        <v/>
      </c>
      <c r="G210" t="str">
        <f>"0.001"</f>
        <v>0.001</v>
      </c>
      <c r="H210" t="str">
        <f>"1.159"</f>
        <v>1.159</v>
      </c>
      <c r="I210" t="str">
        <f>"  51             :    25  3d7.(2G).4p           3G*  "</f>
        <v xml:space="preserve">  51             :    25  3d7.(2G).4p           3G*  </v>
      </c>
      <c r="J210" t="str">
        <f>""</f>
        <v/>
      </c>
    </row>
    <row r="211" spans="1:10">
      <c r="A211" s="1" t="str">
        <f>"3d6.(3F2).4s.4p.(3P*)"</f>
        <v>3d6.(3F2).4s.4p.(3P*)</v>
      </c>
      <c r="B211" t="str">
        <f>"x 3F*"</f>
        <v>x 3F*</v>
      </c>
      <c r="C211" t="str">
        <f>"2"</f>
        <v>2</v>
      </c>
      <c r="D211" t="str">
        <f>""</f>
        <v/>
      </c>
      <c r="E211" t="str">
        <f>"47197.010"</f>
        <v>47197.010</v>
      </c>
      <c r="F211" t="str">
        <f>""</f>
        <v/>
      </c>
      <c r="G211" t="str">
        <f>"0.001"</f>
        <v>0.001</v>
      </c>
      <c r="H211" t="str">
        <f>"0.743"</f>
        <v>0.743</v>
      </c>
      <c r="I211" t="str">
        <f>"  41             :    24  3d6.(3G).4s.4p.(3P*)  5G*  "</f>
        <v xml:space="preserve">  41             :    24  3d6.(3G).4s.4p.(3P*)  5G*  </v>
      </c>
      <c r="J211" t="str">
        <f>""</f>
        <v/>
      </c>
    </row>
    <row r="212" spans="1:10">
      <c r="A212" s="1" t="str">
        <f>"3d6.(3H).4s.4p.(3P*)"</f>
        <v>3d6.(3H).4s.4p.(3P*)</v>
      </c>
      <c r="B212" t="str">
        <f>"z 3H*"</f>
        <v>z 3H*</v>
      </c>
      <c r="C212" t="str">
        <f>"6"</f>
        <v>6</v>
      </c>
      <c r="D212" t="str">
        <f>""</f>
        <v/>
      </c>
      <c r="E212" t="str">
        <f>"46982.320"</f>
        <v>46982.320</v>
      </c>
      <c r="F212" t="str">
        <f>""</f>
        <v/>
      </c>
      <c r="G212" t="str">
        <f>"0.002"</f>
        <v>0.002</v>
      </c>
      <c r="H212" t="str">
        <f>"1.200"</f>
        <v>1.200</v>
      </c>
      <c r="I212" t="str">
        <f>"  36             :    37  3d7.(2G).4p           3H*  "</f>
        <v xml:space="preserve">  36             :    37  3d7.(2G).4p           3H*  </v>
      </c>
      <c r="J212" t="str">
        <f>""</f>
        <v/>
      </c>
    </row>
    <row r="213" spans="1:10">
      <c r="A213" s="1" t="str">
        <f>"3d6.(3H).4s.4p.(3P*)"</f>
        <v>3d6.(3H).4s.4p.(3P*)</v>
      </c>
      <c r="B213" t="str">
        <f>"z 3H*"</f>
        <v>z 3H*</v>
      </c>
      <c r="C213" t="str">
        <f>"5"</f>
        <v>5</v>
      </c>
      <c r="D213" t="str">
        <f>""</f>
        <v/>
      </c>
      <c r="E213" t="str">
        <f>"47008.371"</f>
        <v>47008.371</v>
      </c>
      <c r="F213" t="str">
        <f>""</f>
        <v/>
      </c>
      <c r="G213" t="str">
        <f t="shared" ref="G213:G222" si="19">"0.001"</f>
        <v>0.001</v>
      </c>
      <c r="H213" t="str">
        <f>"1.060"</f>
        <v>1.060</v>
      </c>
      <c r="I213" t="str">
        <f>"  34             :    36  3d7.(2G).4p           3H*  "</f>
        <v xml:space="preserve">  34             :    36  3d7.(2G).4p           3H*  </v>
      </c>
      <c r="J213" t="str">
        <f>""</f>
        <v/>
      </c>
    </row>
    <row r="214" spans="1:10">
      <c r="A214" s="1" t="str">
        <f>"3d6.(3H).4s.4p.(3P*)"</f>
        <v>3d6.(3H).4s.4p.(3P*)</v>
      </c>
      <c r="B214" t="str">
        <f>"z 3H*"</f>
        <v>z 3H*</v>
      </c>
      <c r="C214" t="str">
        <f>"4"</f>
        <v>4</v>
      </c>
      <c r="D214" t="str">
        <f>""</f>
        <v/>
      </c>
      <c r="E214" t="str">
        <f>"47106.484"</f>
        <v>47106.484</v>
      </c>
      <c r="F214" t="str">
        <f>""</f>
        <v/>
      </c>
      <c r="G214" t="str">
        <f t="shared" si="19"/>
        <v>0.001</v>
      </c>
      <c r="H214" t="str">
        <f>"0.880"</f>
        <v>0.880</v>
      </c>
      <c r="I214" t="str">
        <f>"  31             :    18  3d7.(2G).4p           3H*  "</f>
        <v xml:space="preserve">  31             :    18  3d7.(2G).4p           3H*  </v>
      </c>
      <c r="J214" t="str">
        <f>""</f>
        <v/>
      </c>
    </row>
    <row r="215" spans="1:10">
      <c r="A215" s="1" t="str">
        <f>"3d7.(4F).5s"</f>
        <v>3d7.(4F).5s</v>
      </c>
      <c r="B215" t="str">
        <f>"e 5F"</f>
        <v>e 5F</v>
      </c>
      <c r="C215" t="str">
        <f>"5"</f>
        <v>5</v>
      </c>
      <c r="D215" t="str">
        <f>""</f>
        <v/>
      </c>
      <c r="E215" t="str">
        <f>"47005.506"</f>
        <v>47005.506</v>
      </c>
      <c r="F215" t="str">
        <f>""</f>
        <v/>
      </c>
      <c r="G215" t="str">
        <f t="shared" si="19"/>
        <v>0.001</v>
      </c>
      <c r="H215" t="str">
        <f>"1.421"</f>
        <v>1.421</v>
      </c>
      <c r="I215" t="str">
        <f>"                                                     "</f>
        <v xml:space="preserve">                                                     </v>
      </c>
      <c r="J215" t="str">
        <f>""</f>
        <v/>
      </c>
    </row>
    <row r="216" spans="1:10">
      <c r="A216" s="1" t="str">
        <f>"3d7.(4F).5s"</f>
        <v>3d7.(4F).5s</v>
      </c>
      <c r="B216" t="str">
        <f>"e 5F"</f>
        <v>e 5F</v>
      </c>
      <c r="C216" t="str">
        <f>"4"</f>
        <v>4</v>
      </c>
      <c r="D216" t="str">
        <f>""</f>
        <v/>
      </c>
      <c r="E216" t="str">
        <f>"47377.955"</f>
        <v>47377.955</v>
      </c>
      <c r="F216" t="str">
        <f>""</f>
        <v/>
      </c>
      <c r="G216" t="str">
        <f t="shared" si="19"/>
        <v>0.001</v>
      </c>
      <c r="H216" t="str">
        <f>"1.331"</f>
        <v>1.331</v>
      </c>
      <c r="I216" t="str">
        <f>"                                                     "</f>
        <v xml:space="preserve">                                                     </v>
      </c>
      <c r="J216" t="str">
        <f>""</f>
        <v/>
      </c>
    </row>
    <row r="217" spans="1:10">
      <c r="A217" s="1" t="str">
        <f>"3d7.(4F).5s"</f>
        <v>3d7.(4F).5s</v>
      </c>
      <c r="B217" t="str">
        <f>"e 5F"</f>
        <v>e 5F</v>
      </c>
      <c r="C217" t="str">
        <f>"3"</f>
        <v>3</v>
      </c>
      <c r="D217" t="str">
        <f>""</f>
        <v/>
      </c>
      <c r="E217" t="str">
        <f>"47755.537"</f>
        <v>47755.537</v>
      </c>
      <c r="F217" t="str">
        <f>""</f>
        <v/>
      </c>
      <c r="G217" t="str">
        <f t="shared" si="19"/>
        <v>0.001</v>
      </c>
      <c r="H217" t="str">
        <f>"1.236"</f>
        <v>1.236</v>
      </c>
      <c r="I217" t="str">
        <f>"                                                     "</f>
        <v xml:space="preserve">                                                     </v>
      </c>
      <c r="J217" t="str">
        <f>""</f>
        <v/>
      </c>
    </row>
    <row r="218" spans="1:10">
      <c r="A218" s="1" t="str">
        <f>"3d7.(4F).5s"</f>
        <v>3d7.(4F).5s</v>
      </c>
      <c r="B218" t="str">
        <f>"e 5F"</f>
        <v>e 5F</v>
      </c>
      <c r="C218" t="str">
        <f>"2"</f>
        <v>2</v>
      </c>
      <c r="D218" t="str">
        <f>""</f>
        <v/>
      </c>
      <c r="E218" t="str">
        <f>"48036.673"</f>
        <v>48036.673</v>
      </c>
      <c r="F218" t="str">
        <f>""</f>
        <v/>
      </c>
      <c r="G218" t="str">
        <f t="shared" si="19"/>
        <v>0.001</v>
      </c>
      <c r="H218" t="str">
        <f>"0.991"</f>
        <v>0.991</v>
      </c>
      <c r="I218" t="str">
        <f>"                                                     "</f>
        <v xml:space="preserve">                                                     </v>
      </c>
      <c r="J218" t="str">
        <f>""</f>
        <v/>
      </c>
    </row>
    <row r="219" spans="1:10">
      <c r="A219" s="1" t="str">
        <f>"3d7.(4F).5s"</f>
        <v>3d7.(4F).5s</v>
      </c>
      <c r="B219" t="str">
        <f>"e 5F"</f>
        <v>e 5F</v>
      </c>
      <c r="C219" t="str">
        <f>"1"</f>
        <v>1</v>
      </c>
      <c r="D219" t="str">
        <f>""</f>
        <v/>
      </c>
      <c r="E219" t="str">
        <f>"48221.324"</f>
        <v>48221.324</v>
      </c>
      <c r="F219" t="str">
        <f>""</f>
        <v/>
      </c>
      <c r="G219" t="str">
        <f t="shared" si="19"/>
        <v>0.001</v>
      </c>
      <c r="H219" t="str">
        <f>"0.007"</f>
        <v>0.007</v>
      </c>
      <c r="I219" t="str">
        <f>"                                                     "</f>
        <v xml:space="preserve">                                                     </v>
      </c>
      <c r="J219" t="str">
        <f>""</f>
        <v/>
      </c>
    </row>
    <row r="220" spans="1:10">
      <c r="A220" s="1" t="str">
        <f>"3d7.(4P).4p"</f>
        <v>3d7.(4P).4p</v>
      </c>
      <c r="B220" t="str">
        <f>"w 3D*"</f>
        <v>w 3D*</v>
      </c>
      <c r="C220" t="str">
        <f>"3"</f>
        <v>3</v>
      </c>
      <c r="D220" t="str">
        <f>""</f>
        <v/>
      </c>
      <c r="E220" t="str">
        <f>"47017.188"</f>
        <v>47017.188</v>
      </c>
      <c r="F220" t="str">
        <f>""</f>
        <v/>
      </c>
      <c r="G220" t="str">
        <f t="shared" si="19"/>
        <v>0.001</v>
      </c>
      <c r="H220" t="str">
        <f>"1.346"</f>
        <v>1.346</v>
      </c>
      <c r="I220" t="str">
        <f>"  54             :    18  3d6.(3F2).4s.4p.(3P*) 3D*  "</f>
        <v xml:space="preserve">  54             :    18  3d6.(3F2).4s.4p.(3P*) 3D*  </v>
      </c>
      <c r="J220" t="str">
        <f>""</f>
        <v/>
      </c>
    </row>
    <row r="221" spans="1:10">
      <c r="A221" s="1" t="str">
        <f>"3d7.(4P).4p"</f>
        <v>3d7.(4P).4p</v>
      </c>
      <c r="B221" t="str">
        <f>"w 3D*"</f>
        <v>w 3D*</v>
      </c>
      <c r="C221" t="str">
        <f>"2"</f>
        <v>2</v>
      </c>
      <c r="D221" t="str">
        <f>""</f>
        <v/>
      </c>
      <c r="E221" t="str">
        <f>"47136.084"</f>
        <v>47136.084</v>
      </c>
      <c r="F221" t="str">
        <f>""</f>
        <v/>
      </c>
      <c r="G221" t="str">
        <f t="shared" si="19"/>
        <v>0.001</v>
      </c>
      <c r="H221" t="str">
        <f>"1.216"</f>
        <v>1.216</v>
      </c>
      <c r="I221" t="str">
        <f>"  53             :    19  3d6.(3F2).4s.4p.(3P*) 5D*  "</f>
        <v xml:space="preserve">  53             :    19  3d6.(3F2).4s.4p.(3P*) 5D*  </v>
      </c>
      <c r="J221" t="str">
        <f>""</f>
        <v/>
      </c>
    </row>
    <row r="222" spans="1:10">
      <c r="A222" s="1" t="str">
        <f>"3d7.(4P).4p"</f>
        <v>3d7.(4P).4p</v>
      </c>
      <c r="B222" t="str">
        <f>"w 3D*"</f>
        <v>w 3D*</v>
      </c>
      <c r="C222" t="str">
        <f>"1"</f>
        <v>1</v>
      </c>
      <c r="D222" t="str">
        <f>""</f>
        <v/>
      </c>
      <c r="E222" t="str">
        <f>"47272.027"</f>
        <v>47272.027</v>
      </c>
      <c r="F222" t="str">
        <f>""</f>
        <v/>
      </c>
      <c r="G222" t="str">
        <f t="shared" si="19"/>
        <v>0.001</v>
      </c>
      <c r="H222" t="str">
        <f>"0.767"</f>
        <v>0.767</v>
      </c>
      <c r="I222" t="str">
        <f>"  47             :    20  3d6.(3F2).4s.4p.(3P*) 3D*  "</f>
        <v xml:space="preserve">  47             :    20  3d6.(3F2).4s.4p.(3P*) 3D*  </v>
      </c>
      <c r="J222" t="str">
        <f>""</f>
        <v/>
      </c>
    </row>
    <row r="223" spans="1:10">
      <c r="A223" s="1" t="str">
        <f>"3d6.(3G).4s.4p.(3P*)"</f>
        <v>3d6.(3G).4s.4p.(3P*)</v>
      </c>
      <c r="B223" t="str">
        <f>"w 5G*"</f>
        <v>w 5G*</v>
      </c>
      <c r="C223" t="str">
        <f>"6"</f>
        <v>6</v>
      </c>
      <c r="D223" t="str">
        <f>""</f>
        <v/>
      </c>
      <c r="E223" t="str">
        <f>"47363.376"</f>
        <v>47363.376</v>
      </c>
      <c r="F223" t="str">
        <f>""</f>
        <v/>
      </c>
      <c r="G223" t="str">
        <f>"0.002"</f>
        <v>0.002</v>
      </c>
      <c r="H223" t="str">
        <f>"1.306"</f>
        <v>1.306</v>
      </c>
      <c r="I223" t="str">
        <f>"  78             :    11  3d7.(2G).4p           3H*  "</f>
        <v xml:space="preserve">  78             :    11  3d7.(2G).4p           3H*  </v>
      </c>
      <c r="J223" t="str">
        <f>""</f>
        <v/>
      </c>
    </row>
    <row r="224" spans="1:10">
      <c r="A224" s="1" t="str">
        <f>"3d6.(3G).4s.4p.(3P*)"</f>
        <v>3d6.(3G).4s.4p.(3P*)</v>
      </c>
      <c r="B224" t="str">
        <f>"w 5G*"</f>
        <v>w 5G*</v>
      </c>
      <c r="C224" t="str">
        <f>"5"</f>
        <v>5</v>
      </c>
      <c r="D224" t="str">
        <f>""</f>
        <v/>
      </c>
      <c r="E224" t="str">
        <f>"47420.228"</f>
        <v>47420.228</v>
      </c>
      <c r="F224" t="str">
        <f>""</f>
        <v/>
      </c>
      <c r="G224" t="str">
        <f t="shared" ref="G224:G236" si="20">"0.001"</f>
        <v>0.001</v>
      </c>
      <c r="H224" t="str">
        <f>"1.305"</f>
        <v>1.305</v>
      </c>
      <c r="I224" t="str">
        <f>"  73             :     7  3d6.(3G).4s.4p.(3P*)  5F*  "</f>
        <v xml:space="preserve">  73             :     7  3d6.(3G).4s.4p.(3P*)  5F*  </v>
      </c>
      <c r="J224" t="str">
        <f>""</f>
        <v/>
      </c>
    </row>
    <row r="225" spans="1:10">
      <c r="A225" s="1" t="str">
        <f>"3d6.(3G).4s.4p.(3P*)"</f>
        <v>3d6.(3G).4s.4p.(3P*)</v>
      </c>
      <c r="B225" t="str">
        <f>"w 5G*"</f>
        <v>w 5G*</v>
      </c>
      <c r="C225" t="str">
        <f>"4"</f>
        <v>4</v>
      </c>
      <c r="D225" t="str">
        <f>""</f>
        <v/>
      </c>
      <c r="E225" t="str">
        <f>"47590.048"</f>
        <v>47590.048</v>
      </c>
      <c r="F225" t="str">
        <f>""</f>
        <v/>
      </c>
      <c r="G225" t="str">
        <f t="shared" si="20"/>
        <v>0.001</v>
      </c>
      <c r="H225" t="str">
        <f>"1.145"</f>
        <v>1.145</v>
      </c>
      <c r="I225" t="str">
        <f>"  73             :    10  3d6.(3F2).4s.4p.(1P*) 3G*  "</f>
        <v xml:space="preserve">  73             :    10  3d6.(3F2).4s.4p.(1P*) 3G*  </v>
      </c>
      <c r="J225" t="str">
        <f>""</f>
        <v/>
      </c>
    </row>
    <row r="226" spans="1:10">
      <c r="A226" s="1" t="str">
        <f>"3d6.(3G).4s.4p.(3P*)"</f>
        <v>3d6.(3G).4s.4p.(3P*)</v>
      </c>
      <c r="B226" t="str">
        <f>"w 5G*"</f>
        <v>w 5G*</v>
      </c>
      <c r="C226" t="str">
        <f>"3"</f>
        <v>3</v>
      </c>
      <c r="D226" t="str">
        <f>""</f>
        <v/>
      </c>
      <c r="E226" t="str">
        <f>"47693.239"</f>
        <v>47693.239</v>
      </c>
      <c r="F226" t="str">
        <f>""</f>
        <v/>
      </c>
      <c r="G226" t="str">
        <f t="shared" si="20"/>
        <v>0.001</v>
      </c>
      <c r="H226" t="str">
        <f>"0.931"</f>
        <v>0.931</v>
      </c>
      <c r="I226" t="str">
        <f>"  42             :    18  3d6.(3F2).4s.4p.(1P*) 3G*  "</f>
        <v xml:space="preserve">  42             :    18  3d6.(3F2).4s.4p.(1P*) 3G*  </v>
      </c>
      <c r="J226" t="str">
        <f>""</f>
        <v/>
      </c>
    </row>
    <row r="227" spans="1:10">
      <c r="A227" s="1" t="str">
        <f>"3d6.(3G).4s.4p.(3P*)"</f>
        <v>3d6.(3G).4s.4p.(3P*)</v>
      </c>
      <c r="B227" t="str">
        <f>"w 5G*"</f>
        <v>w 5G*</v>
      </c>
      <c r="C227" t="str">
        <f>"2"</f>
        <v>2</v>
      </c>
      <c r="D227" t="str">
        <f>""</f>
        <v/>
      </c>
      <c r="E227" t="str">
        <f>"47831.153"</f>
        <v>47831.153</v>
      </c>
      <c r="F227" t="str">
        <f>""</f>
        <v/>
      </c>
      <c r="G227" t="str">
        <f t="shared" si="20"/>
        <v>0.001</v>
      </c>
      <c r="H227" t="str">
        <f>"0.472"</f>
        <v>0.472</v>
      </c>
      <c r="I227" t="str">
        <f>"  65             :    16  3d7.(2G).4p           3F*  "</f>
        <v xml:space="preserve">  65             :    16  3d7.(2G).4p           3F*  </v>
      </c>
      <c r="J227" t="str">
        <f>""</f>
        <v/>
      </c>
    </row>
    <row r="228" spans="1:10">
      <c r="A228" s="1" t="str">
        <f>"3d6.(3P2).4s.4p.(3P*)"</f>
        <v>3d6.(3P2).4s.4p.(3P*)</v>
      </c>
      <c r="B228" t="str">
        <f>"1D*"</f>
        <v>1D*</v>
      </c>
      <c r="C228" t="str">
        <f>"2"</f>
        <v>2</v>
      </c>
      <c r="D228" t="str">
        <f>""</f>
        <v/>
      </c>
      <c r="E228" t="str">
        <f>"47419.687"</f>
        <v>47419.687</v>
      </c>
      <c r="F228" t="str">
        <f>""</f>
        <v/>
      </c>
      <c r="G228" t="str">
        <f t="shared" si="20"/>
        <v>0.001</v>
      </c>
      <c r="H228" t="str">
        <f>"1.137"</f>
        <v>1.137</v>
      </c>
      <c r="I228" t="str">
        <f>"  36             :    12  3d7.(2P).4p           1D*  "</f>
        <v xml:space="preserve">  36             :    12  3d7.(2P).4p           1D*  </v>
      </c>
      <c r="J228" t="str">
        <f>""</f>
        <v/>
      </c>
    </row>
    <row r="229" spans="1:10">
      <c r="A229" s="1" t="str">
        <f>"3d7.(2G).4p"</f>
        <v>3d7.(2G).4p</v>
      </c>
      <c r="B229" t="str">
        <f>"z 1G*"</f>
        <v>z 1G*</v>
      </c>
      <c r="C229" t="str">
        <f>"4"</f>
        <v>4</v>
      </c>
      <c r="D229" t="str">
        <f>""</f>
        <v/>
      </c>
      <c r="E229" t="str">
        <f>"47452.717"</f>
        <v>47452.717</v>
      </c>
      <c r="F229" t="str">
        <f>""</f>
        <v/>
      </c>
      <c r="G229" t="str">
        <f t="shared" si="20"/>
        <v>0.001</v>
      </c>
      <c r="H229" t="str">
        <f>"1.025"</f>
        <v>1.025</v>
      </c>
      <c r="I229" t="str">
        <f>"  31             :    23  3d6.(3H).4s.4p.(3P*)  1G*  "</f>
        <v xml:space="preserve">  31             :    23  3d6.(3H).4s.4p.(3P*)  1G*  </v>
      </c>
      <c r="J229" t="str">
        <f>""</f>
        <v/>
      </c>
    </row>
    <row r="230" spans="1:10">
      <c r="A230" s="1" t="str">
        <f>"3d7.(4P).4p"</f>
        <v>3d7.(4P).4p</v>
      </c>
      <c r="B230" t="str">
        <f>"y 3S*"</f>
        <v>y 3S*</v>
      </c>
      <c r="C230" t="str">
        <f>"1"</f>
        <v>1</v>
      </c>
      <c r="D230" t="str">
        <f>""</f>
        <v/>
      </c>
      <c r="E230" t="str">
        <f>"47555.610"</f>
        <v>47555.610</v>
      </c>
      <c r="F230" t="str">
        <f>""</f>
        <v/>
      </c>
      <c r="G230" t="str">
        <f t="shared" si="20"/>
        <v>0.001</v>
      </c>
      <c r="H230" t="str">
        <f>"1.884"</f>
        <v>1.884</v>
      </c>
      <c r="I230" t="str">
        <f>"  60             :     9  3d7.(4P).4p           3D*  "</f>
        <v xml:space="preserve">  60             :     9  3d7.(4P).4p           3D*  </v>
      </c>
      <c r="J230" t="str">
        <f>""</f>
        <v/>
      </c>
    </row>
    <row r="231" spans="1:10">
      <c r="A231" s="1" t="str">
        <f>"3d6.(3G).4s.4p.(3P*)"</f>
        <v>3d6.(3G).4s.4p.(3P*)</v>
      </c>
      <c r="B231" t="str">
        <f>"v 5F*"</f>
        <v>v 5F*</v>
      </c>
      <c r="C231" t="str">
        <f>"5"</f>
        <v>5</v>
      </c>
      <c r="D231" t="str">
        <f>""</f>
        <v/>
      </c>
      <c r="E231" t="str">
        <f>"47606.114"</f>
        <v>47606.114</v>
      </c>
      <c r="F231" t="str">
        <f>""</f>
        <v/>
      </c>
      <c r="G231" t="str">
        <f t="shared" si="20"/>
        <v>0.001</v>
      </c>
      <c r="H231" t="str">
        <f>"1.317"</f>
        <v>1.317</v>
      </c>
      <c r="I231" t="str">
        <f>"  61             :    11  3d6.(3G).4s.4p.(3P*)  5H*  "</f>
        <v xml:space="preserve">  61             :    11  3d6.(3G).4s.4p.(3P*)  5H*  </v>
      </c>
      <c r="J231" t="str">
        <f>""</f>
        <v/>
      </c>
    </row>
    <row r="232" spans="1:10">
      <c r="A232" s="1" t="str">
        <f>"3d6.(3G).4s.4p.(3P*)"</f>
        <v>3d6.(3G).4s.4p.(3P*)</v>
      </c>
      <c r="B232" t="str">
        <f>"v 5F*"</f>
        <v>v 5F*</v>
      </c>
      <c r="C232" t="str">
        <f>"4"</f>
        <v>4</v>
      </c>
      <c r="D232" t="str">
        <f>""</f>
        <v/>
      </c>
      <c r="E232" t="str">
        <f>"47929.997"</f>
        <v>47929.997</v>
      </c>
      <c r="F232" t="str">
        <f>""</f>
        <v/>
      </c>
      <c r="G232" t="str">
        <f t="shared" si="20"/>
        <v>0.001</v>
      </c>
      <c r="H232" t="str">
        <f>"1.264"</f>
        <v>1.264</v>
      </c>
      <c r="I232" t="str">
        <f>"  55             :    20  3d6.(3G).4s.4p.(3P*)  5H*  "</f>
        <v xml:space="preserve">  55             :    20  3d6.(3G).4s.4p.(3P*)  5H*  </v>
      </c>
      <c r="J232" t="str">
        <f>""</f>
        <v/>
      </c>
    </row>
    <row r="233" spans="1:10">
      <c r="A233" s="1" t="str">
        <f>"3d6.(3G).4s.4p.(3P*)"</f>
        <v>3d6.(3G).4s.4p.(3P*)</v>
      </c>
      <c r="B233" t="str">
        <f>"v 5F*"</f>
        <v>v 5F*</v>
      </c>
      <c r="C233" t="str">
        <f>"3"</f>
        <v>3</v>
      </c>
      <c r="D233" t="str">
        <f>""</f>
        <v/>
      </c>
      <c r="E233" t="str">
        <f>"48122.928"</f>
        <v>48122.928</v>
      </c>
      <c r="F233" t="str">
        <f>""</f>
        <v/>
      </c>
      <c r="G233" t="str">
        <f t="shared" si="20"/>
        <v>0.001</v>
      </c>
      <c r="H233" t="str">
        <f>"1.236"</f>
        <v>1.236</v>
      </c>
      <c r="I233" t="str">
        <f>"  70             :     7  3d6.(3D).4s.4p.(3P*)  5F*  "</f>
        <v xml:space="preserve">  70             :     7  3d6.(3D).4s.4p.(3P*)  5F*  </v>
      </c>
      <c r="J233" t="str">
        <f>""</f>
        <v/>
      </c>
    </row>
    <row r="234" spans="1:10">
      <c r="A234" s="1" t="str">
        <f>"3d6.(3G).4s.4p.(3P*)"</f>
        <v>3d6.(3G).4s.4p.(3P*)</v>
      </c>
      <c r="B234" t="str">
        <f>"v 5F*"</f>
        <v>v 5F*</v>
      </c>
      <c r="C234" t="str">
        <f>"2"</f>
        <v>2</v>
      </c>
      <c r="D234" t="str">
        <f>""</f>
        <v/>
      </c>
      <c r="E234" t="str">
        <f>"48238.847"</f>
        <v>48238.847</v>
      </c>
      <c r="F234" t="str">
        <f>""</f>
        <v/>
      </c>
      <c r="G234" t="str">
        <f t="shared" si="20"/>
        <v>0.001</v>
      </c>
      <c r="H234" t="str">
        <f>"1.267"</f>
        <v>1.267</v>
      </c>
      <c r="I234" t="str">
        <f>"  74             :     7  3d6.(3D).4s.4p.(3P*)  5F*  "</f>
        <v xml:space="preserve">  74             :     7  3d6.(3D).4s.4p.(3P*)  5F*  </v>
      </c>
      <c r="J234" t="str">
        <f>""</f>
        <v/>
      </c>
    </row>
    <row r="235" spans="1:10">
      <c r="A235" s="1" t="str">
        <f>"3d6.(3G).4s.4p.(3P*)"</f>
        <v>3d6.(3G).4s.4p.(3P*)</v>
      </c>
      <c r="B235" t="str">
        <f>"v 5F*"</f>
        <v>v 5F*</v>
      </c>
      <c r="C235" t="str">
        <f>"1"</f>
        <v>1</v>
      </c>
      <c r="D235" t="str">
        <f>""</f>
        <v/>
      </c>
      <c r="E235" t="str">
        <f>"48350.606"</f>
        <v>48350.606</v>
      </c>
      <c r="F235" t="str">
        <f>""</f>
        <v/>
      </c>
      <c r="G235" t="str">
        <f t="shared" si="20"/>
        <v>0.001</v>
      </c>
      <c r="H235" t="str">
        <f>"0.230"</f>
        <v>0.230</v>
      </c>
      <c r="I235" t="str">
        <f>"  70             :     7  3d6.(3D).4s.4p.(3P*)  5F*  "</f>
        <v xml:space="preserve">  70             :     7  3d6.(3D).4s.4p.(3P*)  5F*  </v>
      </c>
      <c r="J235" t="str">
        <f>""</f>
        <v/>
      </c>
    </row>
    <row r="236" spans="1:10">
      <c r="A236" s="1" t="str">
        <f>"3d6.(3F2).4s.4p.(3P*)"</f>
        <v>3d6.(3F2).4s.4p.(3P*)</v>
      </c>
      <c r="B236" t="str">
        <f>"x 3G*"</f>
        <v>x 3G*</v>
      </c>
      <c r="C236" t="str">
        <f>"4"</f>
        <v>4</v>
      </c>
      <c r="D236" t="str">
        <f>""</f>
        <v/>
      </c>
      <c r="E236" t="str">
        <f>"47812.118"</f>
        <v>47812.118</v>
      </c>
      <c r="F236" t="str">
        <f>""</f>
        <v/>
      </c>
      <c r="G236" t="str">
        <f t="shared" si="20"/>
        <v>0.001</v>
      </c>
      <c r="H236" t="str">
        <f>"1.061"</f>
        <v>1.061</v>
      </c>
      <c r="I236" t="str">
        <f>"  51             :    22  3d6.(3G).4s.4p.(3P*)  5H*  "</f>
        <v xml:space="preserve">  51             :    22  3d6.(3G).4s.4p.(3P*)  5H*  </v>
      </c>
      <c r="J236" t="str">
        <f>""</f>
        <v/>
      </c>
    </row>
    <row r="237" spans="1:10">
      <c r="A237" s="1" t="str">
        <f>"3d6.(3F2).4s.4p.(3P*)"</f>
        <v>3d6.(3F2).4s.4p.(3P*)</v>
      </c>
      <c r="B237" t="str">
        <f>"x 3G*"</f>
        <v>x 3G*</v>
      </c>
      <c r="C237" t="str">
        <f>"3"</f>
        <v>3</v>
      </c>
      <c r="D237" t="str">
        <f>""</f>
        <v/>
      </c>
      <c r="E237" t="str">
        <f>"47834.221"</f>
        <v>47834.221</v>
      </c>
      <c r="F237" t="str">
        <f>""</f>
        <v/>
      </c>
      <c r="G237" t="str">
        <f>"0.002"</f>
        <v>0.002</v>
      </c>
      <c r="H237" t="str">
        <f>"0.668"</f>
        <v>0.668</v>
      </c>
      <c r="I237" t="str">
        <f>"  39             :    37  3d6.(3G).4s.4p.(3P*)  5G*  "</f>
        <v xml:space="preserve">  39             :    37  3d6.(3G).4s.4p.(3P*)  5G*  </v>
      </c>
      <c r="J237" t="str">
        <f>""</f>
        <v/>
      </c>
    </row>
    <row r="238" spans="1:10">
      <c r="A238" s="1" t="str">
        <f>"3d6.(3F2).4s.4p.(3P*)"</f>
        <v>3d6.(3F2).4s.4p.(3P*)</v>
      </c>
      <c r="B238" t="str">
        <f>"x 3G*"</f>
        <v>x 3G*</v>
      </c>
      <c r="C238" t="str">
        <f>"5"</f>
        <v>5</v>
      </c>
      <c r="D238" t="str">
        <f>""</f>
        <v/>
      </c>
      <c r="E238" t="str">
        <f>"47834.550"</f>
        <v>47834.550</v>
      </c>
      <c r="F238" t="str">
        <f>""</f>
        <v/>
      </c>
      <c r="G238" t="str">
        <f>"0.001"</f>
        <v>0.001</v>
      </c>
      <c r="H238" t="str">
        <f>"1.203"</f>
        <v>1.203</v>
      </c>
      <c r="I238" t="str">
        <f>"  49             :    18  3d6.(3G).4s.4p.(3P*)  5H*  "</f>
        <v xml:space="preserve">  49             :    18  3d6.(3G).4s.4p.(3P*)  5H*  </v>
      </c>
      <c r="J238" t="str">
        <f>""</f>
        <v/>
      </c>
    </row>
    <row r="239" spans="1:10">
      <c r="A239" s="1" t="str">
        <f>"3d6.(3G).4s.4p.(3P*)"</f>
        <v>3d6.(3G).4s.4p.(3P*)</v>
      </c>
      <c r="B239" t="str">
        <f>"y 5H*"</f>
        <v>y 5H*</v>
      </c>
      <c r="C239" t="str">
        <f>"6"</f>
        <v>6</v>
      </c>
      <c r="D239" t="str">
        <f>""</f>
        <v/>
      </c>
      <c r="E239" t="str">
        <f>"47855.143"</f>
        <v>47855.143</v>
      </c>
      <c r="F239" t="str">
        <f>""</f>
        <v/>
      </c>
      <c r="G239" t="str">
        <f>"0.002"</f>
        <v>0.002</v>
      </c>
      <c r="H239" t="str">
        <f>""</f>
        <v/>
      </c>
      <c r="I239" t="str">
        <f>"                                                     "</f>
        <v xml:space="preserve">                                                     </v>
      </c>
      <c r="J239" t="str">
        <f>""</f>
        <v/>
      </c>
    </row>
    <row r="240" spans="1:10">
      <c r="A240" s="1" t="str">
        <f>"3d6.(3G).4s.4p.(3P*)"</f>
        <v>3d6.(3G).4s.4p.(3P*)</v>
      </c>
      <c r="B240" t="str">
        <f>"y 5H*"</f>
        <v>y 5H*</v>
      </c>
      <c r="C240" t="str">
        <f>"5"</f>
        <v>5</v>
      </c>
      <c r="D240" t="str">
        <f>""</f>
        <v/>
      </c>
      <c r="E240" t="str">
        <f>"48231.280"</f>
        <v>48231.280</v>
      </c>
      <c r="F240" t="str">
        <f>""</f>
        <v/>
      </c>
      <c r="G240" t="str">
        <f>"0.001"</f>
        <v>0.001</v>
      </c>
      <c r="H240" t="str">
        <f>"1.27?"</f>
        <v>1.27?</v>
      </c>
      <c r="I240" t="str">
        <f>"  67             :    10  3d6.(3F2).4s.4p.(3P*) 3G*  "</f>
        <v xml:space="preserve">  67             :    10  3d6.(3F2).4s.4p.(3P*) 3G*  </v>
      </c>
      <c r="J240" t="str">
        <f>""</f>
        <v/>
      </c>
    </row>
    <row r="241" spans="1:10">
      <c r="A241" s="1" t="str">
        <f>"3d6.(3G).4s.4p.(3P*)"</f>
        <v>3d6.(3G).4s.4p.(3P*)</v>
      </c>
      <c r="B241" t="str">
        <f>"y 5H*"</f>
        <v>y 5H*</v>
      </c>
      <c r="C241" t="str">
        <f>"4"</f>
        <v>4</v>
      </c>
      <c r="D241" t="str">
        <f>""</f>
        <v/>
      </c>
      <c r="E241" t="str">
        <f>"48361.882"</f>
        <v>48361.882</v>
      </c>
      <c r="F241" t="str">
        <f>""</f>
        <v/>
      </c>
      <c r="G241" t="str">
        <f>"0.001"</f>
        <v>0.001</v>
      </c>
      <c r="H241" t="str">
        <f>"0.934"</f>
        <v>0.934</v>
      </c>
      <c r="I241" t="str">
        <f>"  44             :    18  3d6.(3F2).4s.4p.(3P*) 3G*  "</f>
        <v xml:space="preserve">  44             :    18  3d6.(3F2).4s.4p.(3P*) 3G*  </v>
      </c>
      <c r="J241" t="str">
        <f>""</f>
        <v/>
      </c>
    </row>
    <row r="242" spans="1:10">
      <c r="A242" s="1" t="str">
        <f>"3d6.(3G).4s.4p.(3P*)"</f>
        <v>3d6.(3G).4s.4p.(3P*)</v>
      </c>
      <c r="B242" t="str">
        <f>"y 5H*"</f>
        <v>y 5H*</v>
      </c>
      <c r="C242" t="str">
        <f>"3"</f>
        <v>3</v>
      </c>
      <c r="D242" t="str">
        <f>""</f>
        <v/>
      </c>
      <c r="E242" t="str">
        <f>"48475.686"</f>
        <v>48475.686</v>
      </c>
      <c r="F242" t="str">
        <f>""</f>
        <v/>
      </c>
      <c r="G242" t="str">
        <f>"0.002"</f>
        <v>0.002</v>
      </c>
      <c r="H242" t="str">
        <f>"0.584"</f>
        <v>0.584</v>
      </c>
      <c r="I242" t="str">
        <f>"  54             :    31  3d6.(3F2).4s.4p.(3P*) 3G*  "</f>
        <v xml:space="preserve">  54             :    31  3d6.(3F2).4s.4p.(3P*) 3G*  </v>
      </c>
      <c r="J242" t="str">
        <f>""</f>
        <v/>
      </c>
    </row>
    <row r="243" spans="1:10">
      <c r="A243" s="1" t="str">
        <f>"3d7.(4F).5s"</f>
        <v>3d7.(4F).5s</v>
      </c>
      <c r="B243" t="str">
        <f>"e 3F"</f>
        <v>e 3F</v>
      </c>
      <c r="C243" t="str">
        <f>"4"</f>
        <v>4</v>
      </c>
      <c r="D243" t="str">
        <f>""</f>
        <v/>
      </c>
      <c r="E243" t="str">
        <f>"47960.940"</f>
        <v>47960.940</v>
      </c>
      <c r="F243" t="str">
        <f>""</f>
        <v/>
      </c>
      <c r="G243" t="str">
        <f t="shared" ref="G243:G250" si="21">"0.001"</f>
        <v>0.001</v>
      </c>
      <c r="H243" t="str">
        <f>"1.288"</f>
        <v>1.288</v>
      </c>
      <c r="I243" t="str">
        <f t="shared" ref="I243:I249" si="22">"                                                     "</f>
        <v xml:space="preserve">                                                     </v>
      </c>
      <c r="J243" t="str">
        <f>""</f>
        <v/>
      </c>
    </row>
    <row r="244" spans="1:10">
      <c r="A244" s="1" t="str">
        <f>"3d7.(4F).5s"</f>
        <v>3d7.(4F).5s</v>
      </c>
      <c r="B244" t="str">
        <f>"e 3F"</f>
        <v>e 3F</v>
      </c>
      <c r="C244" t="str">
        <f>"3"</f>
        <v>3</v>
      </c>
      <c r="D244" t="str">
        <f>""</f>
        <v/>
      </c>
      <c r="E244" t="str">
        <f>"48531.865"</f>
        <v>48531.865</v>
      </c>
      <c r="F244" t="str">
        <f>""</f>
        <v/>
      </c>
      <c r="G244" t="str">
        <f t="shared" si="21"/>
        <v>0.001</v>
      </c>
      <c r="H244" t="str">
        <f>"1.107"</f>
        <v>1.107</v>
      </c>
      <c r="I244" t="str">
        <f t="shared" si="22"/>
        <v xml:space="preserve">                                                     </v>
      </c>
      <c r="J244" t="str">
        <f>""</f>
        <v/>
      </c>
    </row>
    <row r="245" spans="1:10">
      <c r="A245" s="1" t="str">
        <f>"3d7.(4F).5s"</f>
        <v>3d7.(4F).5s</v>
      </c>
      <c r="B245" t="str">
        <f>"e 3F"</f>
        <v>e 3F</v>
      </c>
      <c r="C245" t="str">
        <f>"2"</f>
        <v>2</v>
      </c>
      <c r="D245" t="str">
        <f>""</f>
        <v/>
      </c>
      <c r="E245" t="str">
        <f>"48928.388"</f>
        <v>48928.388</v>
      </c>
      <c r="F245" t="str">
        <f>""</f>
        <v/>
      </c>
      <c r="G245" t="str">
        <f t="shared" si="21"/>
        <v>0.001</v>
      </c>
      <c r="H245" t="str">
        <f>"0.622"</f>
        <v>0.622</v>
      </c>
      <c r="I245" t="str">
        <f t="shared" si="22"/>
        <v xml:space="preserve">                                                     </v>
      </c>
      <c r="J245" t="str">
        <f>""</f>
        <v/>
      </c>
    </row>
    <row r="246" spans="1:10">
      <c r="A246" s="1" t="str">
        <f>"3d5.(6S).4s2.4p"</f>
        <v>3d5.(6S).4s2.4p</v>
      </c>
      <c r="B246" t="str">
        <f>"v 5P*"</f>
        <v>v 5P*</v>
      </c>
      <c r="C246" t="str">
        <f>"3"</f>
        <v>3</v>
      </c>
      <c r="D246" t="str">
        <f>""</f>
        <v/>
      </c>
      <c r="E246" t="str">
        <f>"47966.585"</f>
        <v>47966.585</v>
      </c>
      <c r="F246" t="str">
        <f>""</f>
        <v/>
      </c>
      <c r="G246" t="str">
        <f t="shared" si="21"/>
        <v>0.001</v>
      </c>
      <c r="H246" t="str">
        <f>"1.646"</f>
        <v>1.646</v>
      </c>
      <c r="I246" t="str">
        <f t="shared" si="22"/>
        <v xml:space="preserve">                                                     </v>
      </c>
      <c r="J246" t="str">
        <f>""</f>
        <v/>
      </c>
    </row>
    <row r="247" spans="1:10">
      <c r="A247" s="1" t="str">
        <f>"3d5.(6S).4s2.4p"</f>
        <v>3d5.(6S).4s2.4p</v>
      </c>
      <c r="B247" t="str">
        <f>"v 5P*"</f>
        <v>v 5P*</v>
      </c>
      <c r="C247" t="str">
        <f>"2"</f>
        <v>2</v>
      </c>
      <c r="D247" t="str">
        <f>""</f>
        <v/>
      </c>
      <c r="E247" t="str">
        <f>"48163.446"</f>
        <v>48163.446</v>
      </c>
      <c r="F247" t="str">
        <f>""</f>
        <v/>
      </c>
      <c r="G247" t="str">
        <f t="shared" si="21"/>
        <v>0.001</v>
      </c>
      <c r="H247" t="str">
        <f>"1.740"</f>
        <v>1.740</v>
      </c>
      <c r="I247" t="str">
        <f t="shared" si="22"/>
        <v xml:space="preserve">                                                     </v>
      </c>
      <c r="J247" t="str">
        <f>""</f>
        <v/>
      </c>
    </row>
    <row r="248" spans="1:10">
      <c r="A248" s="1" t="str">
        <f>"3d5.(6S).4s2.4p"</f>
        <v>3d5.(6S).4s2.4p</v>
      </c>
      <c r="B248" t="str">
        <f>"v 5P*"</f>
        <v>v 5P*</v>
      </c>
      <c r="C248" t="str">
        <f>"1"</f>
        <v>1</v>
      </c>
      <c r="D248" t="str">
        <f>""</f>
        <v/>
      </c>
      <c r="E248" t="str">
        <f>"48289.871"</f>
        <v>48289.871</v>
      </c>
      <c r="F248" t="str">
        <f>""</f>
        <v/>
      </c>
      <c r="G248" t="str">
        <f t="shared" si="21"/>
        <v>0.001</v>
      </c>
      <c r="H248" t="str">
        <f>"2.213"</f>
        <v>2.213</v>
      </c>
      <c r="I248" t="str">
        <f t="shared" si="22"/>
        <v xml:space="preserve">                                                     </v>
      </c>
      <c r="J248" t="str">
        <f>""</f>
        <v/>
      </c>
    </row>
    <row r="249" spans="1:10">
      <c r="A249" s="1" t="str">
        <f>"3d6.(3H).4s.4p.(3P*)"</f>
        <v>3d6.(3H).4s.4p.(3P*)</v>
      </c>
      <c r="B249" t="str">
        <f>"1I*"</f>
        <v>1I*</v>
      </c>
      <c r="C249" t="str">
        <f>"6"</f>
        <v>6</v>
      </c>
      <c r="D249" t="str">
        <f>""</f>
        <v/>
      </c>
      <c r="E249" t="str">
        <f>"48098.293"</f>
        <v>48098.293</v>
      </c>
      <c r="F249" t="str">
        <f>""</f>
        <v/>
      </c>
      <c r="G249" t="str">
        <f t="shared" si="21"/>
        <v>0.001</v>
      </c>
      <c r="H249" t="str">
        <f>""</f>
        <v/>
      </c>
      <c r="I249" t="str">
        <f t="shared" si="22"/>
        <v xml:space="preserve">                                                     </v>
      </c>
      <c r="J249" t="str">
        <f>""</f>
        <v/>
      </c>
    </row>
    <row r="250" spans="1:10">
      <c r="A250" s="1" t="str">
        <f>"3d7.(4P).4p"</f>
        <v>3d7.(4P).4p</v>
      </c>
      <c r="B250" t="str">
        <f>"x 3P*"</f>
        <v>x 3P*</v>
      </c>
      <c r="C250" t="str">
        <f>"2"</f>
        <v>2</v>
      </c>
      <c r="D250" t="str">
        <f>""</f>
        <v/>
      </c>
      <c r="E250" t="str">
        <f>"48304.643"</f>
        <v>48304.643</v>
      </c>
      <c r="F250" t="str">
        <f>""</f>
        <v/>
      </c>
      <c r="G250" t="str">
        <f t="shared" si="21"/>
        <v>0.001</v>
      </c>
      <c r="H250" t="str">
        <f>"1.263"</f>
        <v>1.263</v>
      </c>
      <c r="I250" t="str">
        <f>"  36             :    21  3d7.(2P).4p           3P*  "</f>
        <v xml:space="preserve">  36             :    21  3d7.(2P).4p           3P*  </v>
      </c>
      <c r="J250" t="str">
        <f>""</f>
        <v/>
      </c>
    </row>
    <row r="251" spans="1:10">
      <c r="A251" s="1" t="str">
        <f>"3d7.(4P).4p"</f>
        <v>3d7.(4P).4p</v>
      </c>
      <c r="B251" t="str">
        <f>"x 3P*"</f>
        <v>x 3P*</v>
      </c>
      <c r="C251" t="str">
        <f>"0"</f>
        <v>0</v>
      </c>
      <c r="D251" t="str">
        <f>""</f>
        <v/>
      </c>
      <c r="E251" t="str">
        <f>"48460.113"</f>
        <v>48460.113</v>
      </c>
      <c r="F251" t="str">
        <f>""</f>
        <v/>
      </c>
      <c r="G251" t="str">
        <f>"0.002"</f>
        <v>0.002</v>
      </c>
      <c r="H251" t="str">
        <f>""</f>
        <v/>
      </c>
      <c r="I251" t="str">
        <f>"  42             :    23  3d7.(2P).4p           3P*  "</f>
        <v xml:space="preserve">  42             :    23  3d7.(2P).4p           3P*  </v>
      </c>
      <c r="J251" t="str">
        <f>""</f>
        <v/>
      </c>
    </row>
    <row r="252" spans="1:10">
      <c r="A252" s="1" t="str">
        <f>"3d7.(4P).4p"</f>
        <v>3d7.(4P).4p</v>
      </c>
      <c r="B252" t="str">
        <f>"x 3P*"</f>
        <v>x 3P*</v>
      </c>
      <c r="C252" t="str">
        <f>"1"</f>
        <v>1</v>
      </c>
      <c r="D252" t="str">
        <f>""</f>
        <v/>
      </c>
      <c r="E252" t="str">
        <f>"48516.138"</f>
        <v>48516.138</v>
      </c>
      <c r="F252" t="str">
        <f>""</f>
        <v/>
      </c>
      <c r="G252" t="str">
        <f>"0.001"</f>
        <v>0.001</v>
      </c>
      <c r="H252" t="str">
        <f>"1.547"</f>
        <v>1.547</v>
      </c>
      <c r="I252" t="str">
        <f>"  39             :    18  3d7.(2P).4p           3P*  "</f>
        <v xml:space="preserve">  39             :    18  3d7.(2P).4p           3P*  </v>
      </c>
      <c r="J252" t="str">
        <f>""</f>
        <v/>
      </c>
    </row>
    <row r="253" spans="1:10">
      <c r="A253" s="1" t="str">
        <f>"3d7.(2G).4p"</f>
        <v>3d7.(2G).4p</v>
      </c>
      <c r="B253" t="str">
        <f>"z 1H*"</f>
        <v>z 1H*</v>
      </c>
      <c r="C253" t="str">
        <f>"5"</f>
        <v>5</v>
      </c>
      <c r="D253" t="str">
        <f>""</f>
        <v/>
      </c>
      <c r="E253" t="str">
        <f>"48382.603"</f>
        <v>48382.603</v>
      </c>
      <c r="F253" t="str">
        <f>""</f>
        <v/>
      </c>
      <c r="G253" t="str">
        <f>"0.001"</f>
        <v>0.001</v>
      </c>
      <c r="H253" t="str">
        <f>"1.018"</f>
        <v>1.018</v>
      </c>
      <c r="I253" t="str">
        <f>"  68             :    10  3d6.(3H).4s.4p.(3P*)  1H*  "</f>
        <v xml:space="preserve">  68             :    10  3d6.(3H).4s.4p.(3P*)  1H*  </v>
      </c>
      <c r="J253" t="str">
        <f>""</f>
        <v/>
      </c>
    </row>
    <row r="254" spans="1:10">
      <c r="A254" s="1" t="str">
        <f>"3d6.(3H).4s.4p.(3P*)"</f>
        <v>3d6.(3H).4s.4p.(3P*)</v>
      </c>
      <c r="B254" t="str">
        <f>"y 1G*"</f>
        <v>y 1G*</v>
      </c>
      <c r="C254" t="str">
        <f>"4"</f>
        <v>4</v>
      </c>
      <c r="D254" t="str">
        <f>""</f>
        <v/>
      </c>
      <c r="E254" t="str">
        <f>"48702.535"</f>
        <v>48702.535</v>
      </c>
      <c r="F254" t="str">
        <f>""</f>
        <v/>
      </c>
      <c r="G254" t="str">
        <f>"0.001"</f>
        <v>0.001</v>
      </c>
      <c r="H254" t="str">
        <f>"1.063"</f>
        <v>1.063</v>
      </c>
      <c r="I254" t="str">
        <f>"  36             :    20  3d7.(2G).4p           1G*  "</f>
        <v xml:space="preserve">  36             :    20  3d7.(2G).4p           1G*  </v>
      </c>
      <c r="J254" t="str">
        <f>""</f>
        <v/>
      </c>
    </row>
    <row r="255" spans="1:10">
      <c r="A255" s="1" t="str">
        <f>"3d7.(2G).4p"</f>
        <v>3d7.(2G).4p</v>
      </c>
      <c r="B255" t="str">
        <f>"w 3F*"</f>
        <v>w 3F*</v>
      </c>
      <c r="C255" t="str">
        <f>"4"</f>
        <v>4</v>
      </c>
      <c r="D255" t="str">
        <f>""</f>
        <v/>
      </c>
      <c r="E255" t="str">
        <f>"49108.896"</f>
        <v>49108.896</v>
      </c>
      <c r="F255" t="str">
        <f>""</f>
        <v/>
      </c>
      <c r="G255" t="str">
        <f>"0.001"</f>
        <v>0.001</v>
      </c>
      <c r="H255" t="str">
        <f>"1.181"</f>
        <v>1.181</v>
      </c>
      <c r="I255" t="str">
        <f>"  39             :    26  3d6.(3F2).4s.4p.(3P*) 3F*  "</f>
        <v xml:space="preserve">  39             :    26  3d6.(3F2).4s.4p.(3P*) 3F*  </v>
      </c>
      <c r="J255" t="str">
        <f>""</f>
        <v/>
      </c>
    </row>
    <row r="256" spans="1:10">
      <c r="A256" s="1" t="str">
        <f>"3d7.(2G).4p"</f>
        <v>3d7.(2G).4p</v>
      </c>
      <c r="B256" t="str">
        <f>"w 3F*"</f>
        <v>w 3F*</v>
      </c>
      <c r="C256" t="str">
        <f>"3"</f>
        <v>3</v>
      </c>
      <c r="D256" t="str">
        <f>""</f>
        <v/>
      </c>
      <c r="E256" t="str">
        <f>"49242.886"</f>
        <v>49242.886</v>
      </c>
      <c r="F256" t="str">
        <f>""</f>
        <v/>
      </c>
      <c r="G256" t="str">
        <f>"0.001"</f>
        <v>0.001</v>
      </c>
      <c r="H256" t="str">
        <f>"1.165"</f>
        <v>1.165</v>
      </c>
      <c r="I256" t="str">
        <f>"  37             :    25  3d6.(3F2).4s.4p.(3P*) 3F*  "</f>
        <v xml:space="preserve">  37             :    25  3d6.(3F2).4s.4p.(3P*) 3F*  </v>
      </c>
      <c r="J256" t="str">
        <f>""</f>
        <v/>
      </c>
    </row>
    <row r="257" spans="1:10">
      <c r="A257" s="1" t="str">
        <f>"3d7.(2G).4p"</f>
        <v>3d7.(2G).4p</v>
      </c>
      <c r="B257" t="str">
        <f>"w 3F*"</f>
        <v>w 3F*</v>
      </c>
      <c r="C257" t="str">
        <f>"2"</f>
        <v>2</v>
      </c>
      <c r="D257" t="str">
        <f>""</f>
        <v/>
      </c>
      <c r="E257" t="str">
        <f>"49433.131"</f>
        <v>49433.131</v>
      </c>
      <c r="F257" t="str">
        <f>""</f>
        <v/>
      </c>
      <c r="G257" t="str">
        <f>"0.002"</f>
        <v>0.002</v>
      </c>
      <c r="H257" t="str">
        <f>"0.677"</f>
        <v>0.677</v>
      </c>
      <c r="I257" t="str">
        <f>"  50             :    21  3d6.(3F2).4s.4p.(3P*) 3F*  "</f>
        <v xml:space="preserve">  50             :    21  3d6.(3F2).4s.4p.(3P*) 3F*  </v>
      </c>
      <c r="J257" t="str">
        <f>""</f>
        <v/>
      </c>
    </row>
    <row r="258" spans="1:10">
      <c r="A258" s="1" t="str">
        <f>"3d6.(3F2).4s.4p.(3P*)"</f>
        <v>3d6.(3F2).4s.4p.(3P*)</v>
      </c>
      <c r="B258" t="str">
        <f>"v 3D*"</f>
        <v>v 3D*</v>
      </c>
      <c r="C258" t="str">
        <f>"3"</f>
        <v>3</v>
      </c>
      <c r="D258" t="str">
        <f>""</f>
        <v/>
      </c>
      <c r="E258" t="str">
        <f>"49135.023"</f>
        <v>49135.023</v>
      </c>
      <c r="F258" t="str">
        <f>""</f>
        <v/>
      </c>
      <c r="G258" t="str">
        <f>"0.001"</f>
        <v>0.001</v>
      </c>
      <c r="H258" t="str">
        <f>"1.211"</f>
        <v>1.211</v>
      </c>
      <c r="I258" t="str">
        <f>"  31  3D*        :    19  3d7.(2G).4p           3F*  "</f>
        <v xml:space="preserve">  31  3D*        :    19  3d7.(2G).4p           3F*  </v>
      </c>
      <c r="J258" t="str">
        <f>""</f>
        <v/>
      </c>
    </row>
    <row r="259" spans="1:10">
      <c r="A259" s="1" t="str">
        <f>"3d6.(3F2).4s.4p.(3P*)"</f>
        <v>3d6.(3F2).4s.4p.(3P*)</v>
      </c>
      <c r="B259" t="str">
        <f>"v 3D*"</f>
        <v>v 3D*</v>
      </c>
      <c r="C259" t="str">
        <f>"2"</f>
        <v>2</v>
      </c>
      <c r="D259" t="str">
        <f>""</f>
        <v/>
      </c>
      <c r="E259" t="str">
        <f>"49242.621"</f>
        <v>49242.621</v>
      </c>
      <c r="F259" t="str">
        <f>""</f>
        <v/>
      </c>
      <c r="G259" t="str">
        <f>"0.001"</f>
        <v>0.001</v>
      </c>
      <c r="H259" t="str">
        <f>"0.954"</f>
        <v>0.954</v>
      </c>
      <c r="I259" t="str">
        <f>"  52             :    12  3d7.(2P).4p           3D*  "</f>
        <v xml:space="preserve">  52             :    12  3d7.(2P).4p           3D*  </v>
      </c>
      <c r="J259" t="str">
        <f>""</f>
        <v/>
      </c>
    </row>
    <row r="260" spans="1:10">
      <c r="A260" s="1" t="str">
        <f>"3d6.(3F2).4s.4p.(3P*)"</f>
        <v>3d6.(3F2).4s.4p.(3P*)</v>
      </c>
      <c r="B260" t="str">
        <f>"v 3D*"</f>
        <v>v 3D*</v>
      </c>
      <c r="C260" t="str">
        <f>"1"</f>
        <v>1</v>
      </c>
      <c r="D260" t="str">
        <f>""</f>
        <v/>
      </c>
      <c r="E260" t="str">
        <f>"49297.635"</f>
        <v>49297.635</v>
      </c>
      <c r="F260" t="str">
        <f>""</f>
        <v/>
      </c>
      <c r="G260" t="str">
        <f>"0.002"</f>
        <v>0.002</v>
      </c>
      <c r="H260" t="str">
        <f>"0.562"</f>
        <v>0.562</v>
      </c>
      <c r="I260" t="str">
        <f>"  47             :    13  3d7.(2P).4p           3D*  "</f>
        <v xml:space="preserve">  47             :    13  3d7.(2P).4p           3D*  </v>
      </c>
      <c r="J260" t="str">
        <f>""</f>
        <v/>
      </c>
    </row>
    <row r="261" spans="1:10">
      <c r="A261" s="1" t="str">
        <f>"3d6.(5D).4s (6D).5p"</f>
        <v>3d6.(5D).4s (6D).5p</v>
      </c>
      <c r="B261" t="str">
        <f>"n 7D*"</f>
        <v>n 7D*</v>
      </c>
      <c r="C261" t="str">
        <f>"5"</f>
        <v>5</v>
      </c>
      <c r="D261" t="str">
        <f>""</f>
        <v/>
      </c>
      <c r="E261" t="str">
        <f>"49352.341"</f>
        <v>49352.341</v>
      </c>
      <c r="F261" t="str">
        <f>""</f>
        <v/>
      </c>
      <c r="G261" t="str">
        <f>"0.001"</f>
        <v>0.001</v>
      </c>
      <c r="H261" t="str">
        <f>""</f>
        <v/>
      </c>
      <c r="I261" t="str">
        <f>"                                                     "</f>
        <v xml:space="preserve">                                                     </v>
      </c>
      <c r="J261" t="str">
        <f>""</f>
        <v/>
      </c>
    </row>
    <row r="262" spans="1:10">
      <c r="A262" s="1" t="str">
        <f>"3d6.(5D).4s (6D).5p"</f>
        <v>3d6.(5D).4s (6D).5p</v>
      </c>
      <c r="B262" t="str">
        <f>"n 7D*"</f>
        <v>n 7D*</v>
      </c>
      <c r="C262" t="str">
        <f>"4"</f>
        <v>4</v>
      </c>
      <c r="D262" t="str">
        <f>""</f>
        <v/>
      </c>
      <c r="E262" t="str">
        <f>"49558.734"</f>
        <v>49558.734</v>
      </c>
      <c r="F262" t="str">
        <f>""</f>
        <v/>
      </c>
      <c r="G262" t="str">
        <f>"0.001"</f>
        <v>0.001</v>
      </c>
      <c r="H262" t="str">
        <f>""</f>
        <v/>
      </c>
      <c r="I262" t="str">
        <f>"                                                     "</f>
        <v xml:space="preserve">                                                     </v>
      </c>
      <c r="J262" t="str">
        <f>""</f>
        <v/>
      </c>
    </row>
    <row r="263" spans="1:10">
      <c r="A263" s="1" t="str">
        <f>"3d6.(5D).4s (6D).5p"</f>
        <v>3d6.(5D).4s (6D).5p</v>
      </c>
      <c r="B263" t="str">
        <f>"n 7D*"</f>
        <v>n 7D*</v>
      </c>
      <c r="C263" t="str">
        <f>"3"</f>
        <v>3</v>
      </c>
      <c r="D263" t="str">
        <f>""</f>
        <v/>
      </c>
      <c r="E263" t="str">
        <f>"49805.257"</f>
        <v>49805.257</v>
      </c>
      <c r="F263" t="str">
        <f>""</f>
        <v/>
      </c>
      <c r="G263" t="str">
        <f>"0.001"</f>
        <v>0.001</v>
      </c>
      <c r="H263" t="str">
        <f>""</f>
        <v/>
      </c>
      <c r="I263" t="str">
        <f>"                                                     "</f>
        <v xml:space="preserve">                                                     </v>
      </c>
      <c r="J263" t="str">
        <f>""</f>
        <v/>
      </c>
    </row>
    <row r="264" spans="1:10">
      <c r="A264" s="1" t="str">
        <f>"3d6.(5D).4s (6D).5p"</f>
        <v>3d6.(5D).4s (6D).5p</v>
      </c>
      <c r="B264" t="str">
        <f>"n 7D*"</f>
        <v>n 7D*</v>
      </c>
      <c r="C264" t="str">
        <f>"2"</f>
        <v>2</v>
      </c>
      <c r="D264" t="str">
        <f>""</f>
        <v/>
      </c>
      <c r="E264" t="str">
        <f>"50008.522"</f>
        <v>50008.522</v>
      </c>
      <c r="F264" t="str">
        <f>""</f>
        <v/>
      </c>
      <c r="G264" t="str">
        <f>"0.001"</f>
        <v>0.001</v>
      </c>
      <c r="H264" t="str">
        <f>""</f>
        <v/>
      </c>
      <c r="I264" t="str">
        <f>"                                                     "</f>
        <v xml:space="preserve">                                                     </v>
      </c>
      <c r="J264" t="str">
        <f>""</f>
        <v/>
      </c>
    </row>
    <row r="265" spans="1:10">
      <c r="A265" s="1" t="str">
        <f>"3d6.(5D).4s (6D).5p"</f>
        <v>3d6.(5D).4s (6D).5p</v>
      </c>
      <c r="B265" t="str">
        <f>"n 7D*"</f>
        <v>n 7D*</v>
      </c>
      <c r="C265" t="str">
        <f>"1"</f>
        <v>1</v>
      </c>
      <c r="D265" t="str">
        <f>""</f>
        <v/>
      </c>
      <c r="E265" t="str">
        <f>"50152.619"</f>
        <v>50152.619</v>
      </c>
      <c r="F265" t="str">
        <f>""</f>
        <v/>
      </c>
      <c r="G265" t="str">
        <f>"0.001"</f>
        <v>0.001</v>
      </c>
      <c r="H265" t="str">
        <f>""</f>
        <v/>
      </c>
      <c r="I265" t="str">
        <f>"                                                     "</f>
        <v xml:space="preserve">                                                     </v>
      </c>
      <c r="J265" t="str">
        <f>""</f>
        <v/>
      </c>
    </row>
    <row r="266" spans="1:10">
      <c r="A266" s="1" t="str">
        <f t="shared" ref="A266:A271" si="23">"3d7.(2G).4p"</f>
        <v>3d7.(2G).4p</v>
      </c>
      <c r="B266" t="str">
        <f>"y 3H*"</f>
        <v>y 3H*</v>
      </c>
      <c r="C266" t="str">
        <f>"6"</f>
        <v>6</v>
      </c>
      <c r="D266" t="str">
        <f>""</f>
        <v/>
      </c>
      <c r="E266" t="str">
        <f>"49434.163"</f>
        <v>49434.163</v>
      </c>
      <c r="F266" t="str">
        <f>""</f>
        <v/>
      </c>
      <c r="G266" t="str">
        <f>"0.002"</f>
        <v>0.002</v>
      </c>
      <c r="H266" t="str">
        <f>"1.17?"</f>
        <v>1.17?</v>
      </c>
      <c r="I266" t="str">
        <f>"  43             :    43  3d6.(3H).4s.4p.(3P*)  3H*  "</f>
        <v xml:space="preserve">  43             :    43  3d6.(3H).4s.4p.(3P*)  3H*  </v>
      </c>
      <c r="J266" t="str">
        <f>""</f>
        <v/>
      </c>
    </row>
    <row r="267" spans="1:10">
      <c r="A267" s="1" t="str">
        <f t="shared" si="23"/>
        <v>3d7.(2G).4p</v>
      </c>
      <c r="B267" t="str">
        <f>"y 3H*"</f>
        <v>y 3H*</v>
      </c>
      <c r="C267" t="str">
        <f>"5"</f>
        <v>5</v>
      </c>
      <c r="D267" t="str">
        <f>""</f>
        <v/>
      </c>
      <c r="E267" t="str">
        <f>"49604.427"</f>
        <v>49604.427</v>
      </c>
      <c r="F267" t="str">
        <f>""</f>
        <v/>
      </c>
      <c r="G267" t="str">
        <f>"0.002"</f>
        <v>0.002</v>
      </c>
      <c r="H267" t="str">
        <f>"1.075"</f>
        <v>1.075</v>
      </c>
      <c r="I267" t="str">
        <f>"  38             :    26  3d6.(3H).4s.4p.(3P*)  3H*  "</f>
        <v xml:space="preserve">  38             :    26  3d6.(3H).4s.4p.(3P*)  3H*  </v>
      </c>
      <c r="J267" t="str">
        <f>""</f>
        <v/>
      </c>
    </row>
    <row r="268" spans="1:10">
      <c r="A268" s="1" t="str">
        <f t="shared" si="23"/>
        <v>3d7.(2G).4p</v>
      </c>
      <c r="B268" t="str">
        <f>"y 3H*"</f>
        <v>y 3H*</v>
      </c>
      <c r="C268" t="str">
        <f>"4"</f>
        <v>4</v>
      </c>
      <c r="D268" t="str">
        <f>""</f>
        <v/>
      </c>
      <c r="E268" t="str">
        <f>"49726.990"</f>
        <v>49726.990</v>
      </c>
      <c r="F268" t="str">
        <f>""</f>
        <v/>
      </c>
      <c r="G268" t="str">
        <f>"0.002"</f>
        <v>0.002</v>
      </c>
      <c r="H268" t="str">
        <f>"0.929"</f>
        <v>0.929</v>
      </c>
      <c r="I268" t="str">
        <f>"  42             :    29  3d6.(3H).4s.4p.(3P*)  3H*  "</f>
        <v xml:space="preserve">  42             :    29  3d6.(3H).4s.4p.(3P*)  3H*  </v>
      </c>
      <c r="J268" t="str">
        <f>""</f>
        <v/>
      </c>
    </row>
    <row r="269" spans="1:10">
      <c r="A269" s="1" t="str">
        <f t="shared" si="23"/>
        <v>3d7.(2G).4p</v>
      </c>
      <c r="B269" t="str">
        <f>"v 3G*"</f>
        <v>v 3G*</v>
      </c>
      <c r="C269" t="str">
        <f>"5"</f>
        <v>5</v>
      </c>
      <c r="D269" t="str">
        <f>""</f>
        <v/>
      </c>
      <c r="E269" t="str">
        <f>"49460.902"</f>
        <v>49460.902</v>
      </c>
      <c r="F269" t="str">
        <f>""</f>
        <v/>
      </c>
      <c r="G269" t="str">
        <f>"0.001"</f>
        <v>0.001</v>
      </c>
      <c r="H269" t="str">
        <f>"1.163"</f>
        <v>1.163</v>
      </c>
      <c r="I269" t="str">
        <f>"  38             :    24  3d6.(3F2).4s.4p.(3P*) 3G*  "</f>
        <v xml:space="preserve">  38             :    24  3d6.(3F2).4s.4p.(3P*) 3G*  </v>
      </c>
      <c r="J269" t="str">
        <f>""</f>
        <v/>
      </c>
    </row>
    <row r="270" spans="1:10">
      <c r="A270" s="1" t="str">
        <f t="shared" si="23"/>
        <v>3d7.(2G).4p</v>
      </c>
      <c r="B270" t="str">
        <f>"v 3G*"</f>
        <v>v 3G*</v>
      </c>
      <c r="C270" t="str">
        <f>"4"</f>
        <v>4</v>
      </c>
      <c r="D270" t="str">
        <f>""</f>
        <v/>
      </c>
      <c r="E270" t="str">
        <f>"49627.884"</f>
        <v>49627.884</v>
      </c>
      <c r="F270" t="str">
        <f>""</f>
        <v/>
      </c>
      <c r="G270" t="str">
        <f>"0.001"</f>
        <v>0.001</v>
      </c>
      <c r="H270" t="str">
        <f>"0.914"</f>
        <v>0.914</v>
      </c>
      <c r="I270" t="str">
        <f>"  41             :    18  3d6.(3H).4s.4p.(3P*)  3G*  "</f>
        <v xml:space="preserve">  41             :    18  3d6.(3H).4s.4p.(3P*)  3G*  </v>
      </c>
      <c r="J270" t="str">
        <f>""</f>
        <v/>
      </c>
    </row>
    <row r="271" spans="1:10">
      <c r="A271" s="1" t="str">
        <f t="shared" si="23"/>
        <v>3d7.(2G).4p</v>
      </c>
      <c r="B271" t="str">
        <f>"v 3G*"</f>
        <v>v 3G*</v>
      </c>
      <c r="C271" t="str">
        <f>"3"</f>
        <v>3</v>
      </c>
      <c r="D271" t="str">
        <f>""</f>
        <v/>
      </c>
      <c r="E271" t="str">
        <f>"49850.590"</f>
        <v>49850.590</v>
      </c>
      <c r="F271" t="str">
        <f>""</f>
        <v/>
      </c>
      <c r="G271" t="str">
        <f>"0.001"</f>
        <v>0.001</v>
      </c>
      <c r="H271" t="str">
        <f>"0.763"</f>
        <v>0.763</v>
      </c>
      <c r="I271" t="str">
        <f>"  43             :    25  3d6.(3F2).4s.4p.(3P*) 3G*  "</f>
        <v xml:space="preserve">  43             :    25  3d6.(3F2).4s.4p.(3P*) 3G*  </v>
      </c>
      <c r="J271" t="str">
        <f>""</f>
        <v/>
      </c>
    </row>
    <row r="272" spans="1:10">
      <c r="A272" s="1" t="str">
        <f>"3d6.(3F2).4s.4p.(3P*)"</f>
        <v>3d6.(3F2).4s.4p.(3P*)</v>
      </c>
      <c r="B272" t="str">
        <f>"1F*"</f>
        <v>1F*</v>
      </c>
      <c r="C272" t="str">
        <f>"3"</f>
        <v>3</v>
      </c>
      <c r="D272" t="str">
        <f>""</f>
        <v/>
      </c>
      <c r="E272" t="str">
        <f>"49477.127"</f>
        <v>49477.127</v>
      </c>
      <c r="F272" t="str">
        <f>""</f>
        <v/>
      </c>
      <c r="G272" t="str">
        <f>"0.001"</f>
        <v>0.001</v>
      </c>
      <c r="H272" t="str">
        <f>"0.92?"</f>
        <v>0.92?</v>
      </c>
      <c r="I272" t="str">
        <f>"  40             :    39  3d7.(2G).4p           1F*  "</f>
        <v xml:space="preserve">  40             :    39  3d7.(2G).4p           1F*  </v>
      </c>
      <c r="J272" t="str">
        <f>""</f>
        <v/>
      </c>
    </row>
    <row r="273" spans="1:10">
      <c r="A273" s="1" t="str">
        <f t="shared" ref="A273:A279" si="24">"3d6.(5D).4s (6D).5p"</f>
        <v>3d6.(5D).4s (6D).5p</v>
      </c>
      <c r="B273" t="str">
        <f t="shared" ref="B273:B279" si="25">"n 7F*"</f>
        <v>n 7F*</v>
      </c>
      <c r="C273" t="str">
        <f>"6"</f>
        <v>6</v>
      </c>
      <c r="D273" t="str">
        <f>""</f>
        <v/>
      </c>
      <c r="E273" t="str">
        <f>"49758.142"</f>
        <v>49758.142</v>
      </c>
      <c r="F273" t="str">
        <f>""</f>
        <v/>
      </c>
      <c r="G273" t="str">
        <f>"0.002"</f>
        <v>0.002</v>
      </c>
      <c r="H273" t="str">
        <f>""</f>
        <v/>
      </c>
      <c r="I273" t="str">
        <f t="shared" ref="I273:I279" si="26">"                                                     "</f>
        <v xml:space="preserve">                                                     </v>
      </c>
      <c r="J273" t="str">
        <f>""</f>
        <v/>
      </c>
    </row>
    <row r="274" spans="1:10">
      <c r="A274" s="1" t="str">
        <f t="shared" si="24"/>
        <v>3d6.(5D).4s (6D).5p</v>
      </c>
      <c r="B274" t="str">
        <f t="shared" si="25"/>
        <v>n 7F*</v>
      </c>
      <c r="C274" t="str">
        <f>"5"</f>
        <v>5</v>
      </c>
      <c r="D274" t="str">
        <f>""</f>
        <v/>
      </c>
      <c r="E274" t="str">
        <f>"50052.194"</f>
        <v>50052.194</v>
      </c>
      <c r="F274" t="str">
        <f>""</f>
        <v/>
      </c>
      <c r="G274" t="str">
        <f>"0.001"</f>
        <v>0.001</v>
      </c>
      <c r="H274" t="str">
        <f>""</f>
        <v/>
      </c>
      <c r="I274" t="str">
        <f t="shared" si="26"/>
        <v xml:space="preserve">                                                     </v>
      </c>
      <c r="J274" t="str">
        <f>""</f>
        <v/>
      </c>
    </row>
    <row r="275" spans="1:10">
      <c r="A275" s="1" t="str">
        <f t="shared" si="24"/>
        <v>3d6.(5D).4s (6D).5p</v>
      </c>
      <c r="B275" t="str">
        <f t="shared" si="25"/>
        <v>n 7F*</v>
      </c>
      <c r="C275" t="str">
        <f>"4"</f>
        <v>4</v>
      </c>
      <c r="D275" t="str">
        <f>""</f>
        <v/>
      </c>
      <c r="E275" t="str">
        <f>"50303.225"</f>
        <v>50303.225</v>
      </c>
      <c r="F275" t="str">
        <f>""</f>
        <v/>
      </c>
      <c r="G275" t="str">
        <f>"0.001"</f>
        <v>0.001</v>
      </c>
      <c r="H275" t="str">
        <f>""</f>
        <v/>
      </c>
      <c r="I275" t="str">
        <f t="shared" si="26"/>
        <v xml:space="preserve">                                                     </v>
      </c>
      <c r="J275" t="str">
        <f>""</f>
        <v/>
      </c>
    </row>
    <row r="276" spans="1:10">
      <c r="A276" s="1" t="str">
        <f t="shared" si="24"/>
        <v>3d6.(5D).4s (6D).5p</v>
      </c>
      <c r="B276" t="str">
        <f t="shared" si="25"/>
        <v>n 7F*</v>
      </c>
      <c r="C276" t="str">
        <f>"3"</f>
        <v>3</v>
      </c>
      <c r="D276" t="str">
        <f>""</f>
        <v/>
      </c>
      <c r="E276" t="str">
        <f>"50433.025"</f>
        <v>50433.025</v>
      </c>
      <c r="F276" t="str">
        <f>""</f>
        <v/>
      </c>
      <c r="G276" t="str">
        <f>"0.001"</f>
        <v>0.001</v>
      </c>
      <c r="H276" t="str">
        <f>""</f>
        <v/>
      </c>
      <c r="I276" t="str">
        <f t="shared" si="26"/>
        <v xml:space="preserve">                                                     </v>
      </c>
      <c r="J276" t="str">
        <f>""</f>
        <v/>
      </c>
    </row>
    <row r="277" spans="1:10">
      <c r="A277" s="1" t="str">
        <f t="shared" si="24"/>
        <v>3d6.(5D).4s (6D).5p</v>
      </c>
      <c r="B277" t="str">
        <f t="shared" si="25"/>
        <v>n 7F*</v>
      </c>
      <c r="C277" t="str">
        <f>"2"</f>
        <v>2</v>
      </c>
      <c r="D277" t="str">
        <f>""</f>
        <v/>
      </c>
      <c r="E277" t="str">
        <f>"50555.762"</f>
        <v>50555.762</v>
      </c>
      <c r="F277" t="str">
        <f>""</f>
        <v/>
      </c>
      <c r="G277" t="str">
        <f>"0.001"</f>
        <v>0.001</v>
      </c>
      <c r="H277" t="str">
        <f>""</f>
        <v/>
      </c>
      <c r="I277" t="str">
        <f t="shared" si="26"/>
        <v xml:space="preserve">                                                     </v>
      </c>
      <c r="J277" t="str">
        <f>""</f>
        <v/>
      </c>
    </row>
    <row r="278" spans="1:10">
      <c r="A278" s="1" t="str">
        <f t="shared" si="24"/>
        <v>3d6.(5D).4s (6D).5p</v>
      </c>
      <c r="B278" t="str">
        <f t="shared" si="25"/>
        <v>n 7F*</v>
      </c>
      <c r="C278" t="str">
        <f>"1"</f>
        <v>1</v>
      </c>
      <c r="D278" t="str">
        <f>""</f>
        <v/>
      </c>
      <c r="E278" t="str">
        <f>"50627.436"</f>
        <v>50627.436</v>
      </c>
      <c r="F278" t="str">
        <f>""</f>
        <v/>
      </c>
      <c r="G278" t="str">
        <f>"0.002"</f>
        <v>0.002</v>
      </c>
      <c r="H278" t="str">
        <f>""</f>
        <v/>
      </c>
      <c r="I278" t="str">
        <f t="shared" si="26"/>
        <v xml:space="preserve">                                                     </v>
      </c>
      <c r="J278" t="str">
        <f>""</f>
        <v/>
      </c>
    </row>
    <row r="279" spans="1:10">
      <c r="A279" s="1" t="str">
        <f t="shared" si="24"/>
        <v>3d6.(5D).4s (6D).5p</v>
      </c>
      <c r="B279" t="str">
        <f t="shared" si="25"/>
        <v>n 7F*</v>
      </c>
      <c r="C279" t="str">
        <f>"0"</f>
        <v>0</v>
      </c>
      <c r="D279" t="str">
        <f>""</f>
        <v/>
      </c>
      <c r="E279" t="str">
        <f>"50659.683"</f>
        <v>50659.683</v>
      </c>
      <c r="F279" t="str">
        <f>""</f>
        <v/>
      </c>
      <c r="G279" t="str">
        <f>"0.002"</f>
        <v>0.002</v>
      </c>
      <c r="H279" t="str">
        <f>""</f>
        <v/>
      </c>
      <c r="I279" t="str">
        <f t="shared" si="26"/>
        <v xml:space="preserve">                                                     </v>
      </c>
      <c r="J279" t="str">
        <f>""</f>
        <v/>
      </c>
    </row>
    <row r="280" spans="1:10">
      <c r="A280" s="1" t="str">
        <f>"3d7.(2P).4p"</f>
        <v>3d7.(2P).4p</v>
      </c>
      <c r="B280" t="str">
        <f>"w 3P*"</f>
        <v>w 3P*</v>
      </c>
      <c r="C280" t="str">
        <f>"0"</f>
        <v>0</v>
      </c>
      <c r="D280" t="str">
        <f>""</f>
        <v/>
      </c>
      <c r="E280" t="str">
        <f>"49951.344"</f>
        <v>49951.344</v>
      </c>
      <c r="F280" t="str">
        <f>""</f>
        <v/>
      </c>
      <c r="G280" t="str">
        <f>"0.002"</f>
        <v>0.002</v>
      </c>
      <c r="H280" t="str">
        <f>""</f>
        <v/>
      </c>
      <c r="I280" t="str">
        <f>"  52             :    24  3d6.(3P2).4s.4p.(1P*) 3P*  "</f>
        <v xml:space="preserve">  52             :    24  3d6.(3P2).4s.4p.(1P*) 3P*  </v>
      </c>
      <c r="J280" t="str">
        <f>""</f>
        <v/>
      </c>
    </row>
    <row r="281" spans="1:10">
      <c r="A281" s="1" t="str">
        <f>"3d7.(2P).4p"</f>
        <v>3d7.(2P).4p</v>
      </c>
      <c r="B281" t="str">
        <f>"w 3P*"</f>
        <v>w 3P*</v>
      </c>
      <c r="C281" t="str">
        <f>"1"</f>
        <v>1</v>
      </c>
      <c r="D281" t="str">
        <f>""</f>
        <v/>
      </c>
      <c r="E281" t="str">
        <f>"50043.213"</f>
        <v>50043.213</v>
      </c>
      <c r="F281" t="str">
        <f>""</f>
        <v/>
      </c>
      <c r="G281" t="str">
        <f t="shared" ref="G281:G300" si="27">"0.001"</f>
        <v>0.001</v>
      </c>
      <c r="H281" t="str">
        <f>"1.389"</f>
        <v>1.389</v>
      </c>
      <c r="I281" t="str">
        <f>"  50             :    11  3d5.(6S).4s2.4p       5P*  "</f>
        <v xml:space="preserve">  50             :    11  3d5.(6S).4s2.4p       5P*  </v>
      </c>
      <c r="J281" t="str">
        <f>""</f>
        <v/>
      </c>
    </row>
    <row r="282" spans="1:10">
      <c r="A282" s="1" t="str">
        <f>"3d7.(2P).4p"</f>
        <v>3d7.(2P).4p</v>
      </c>
      <c r="B282" t="str">
        <f>"w 3P*"</f>
        <v>w 3P*</v>
      </c>
      <c r="C282" t="str">
        <f>"2"</f>
        <v>2</v>
      </c>
      <c r="D282" t="str">
        <f>""</f>
        <v/>
      </c>
      <c r="E282" t="str">
        <f>"50186.834"</f>
        <v>50186.834</v>
      </c>
      <c r="F282" t="str">
        <f>""</f>
        <v/>
      </c>
      <c r="G282" t="str">
        <f t="shared" si="27"/>
        <v>0.001</v>
      </c>
      <c r="H282" t="str">
        <f>"1.469"</f>
        <v>1.469</v>
      </c>
      <c r="I282" t="str">
        <f>"  46             :    10  3d7.(4P).4p           5P*  "</f>
        <v xml:space="preserve">  46             :    10  3d7.(4P).4p           5P*  </v>
      </c>
      <c r="J282" t="str">
        <f>""</f>
        <v/>
      </c>
    </row>
    <row r="283" spans="1:10">
      <c r="A283" s="1" t="str">
        <f>"3d6.(5D).4s (6D).5p"</f>
        <v>3d6.(5D).4s (6D).5p</v>
      </c>
      <c r="B283" t="str">
        <f>"n 7P*"</f>
        <v>n 7P*</v>
      </c>
      <c r="C283" t="str">
        <f>"4"</f>
        <v>4</v>
      </c>
      <c r="D283" t="str">
        <f>""</f>
        <v/>
      </c>
      <c r="E283" t="str">
        <f>"50185.743"</f>
        <v>50185.743</v>
      </c>
      <c r="F283" t="str">
        <f>""</f>
        <v/>
      </c>
      <c r="G283" t="str">
        <f t="shared" si="27"/>
        <v>0.001</v>
      </c>
      <c r="H283" t="str">
        <f>""</f>
        <v/>
      </c>
      <c r="I283" t="str">
        <f t="shared" ref="I283:I309" si="28">"                                                     "</f>
        <v xml:space="preserve">                                                     </v>
      </c>
      <c r="J283" t="str">
        <f>""</f>
        <v/>
      </c>
    </row>
    <row r="284" spans="1:10">
      <c r="A284" s="1" t="str">
        <f>"3d6.(5D).4s (6D).5p"</f>
        <v>3d6.(5D).4s (6D).5p</v>
      </c>
      <c r="B284" t="str">
        <f>"n 7P*"</f>
        <v>n 7P*</v>
      </c>
      <c r="C284" t="str">
        <f>"3"</f>
        <v>3</v>
      </c>
      <c r="D284" t="str">
        <f>""</f>
        <v/>
      </c>
      <c r="E284" t="str">
        <f>"50628.372"</f>
        <v>50628.372</v>
      </c>
      <c r="F284" t="str">
        <f>""</f>
        <v/>
      </c>
      <c r="G284" t="str">
        <f t="shared" si="27"/>
        <v>0.001</v>
      </c>
      <c r="H284" t="str">
        <f>""</f>
        <v/>
      </c>
      <c r="I284" t="str">
        <f t="shared" si="28"/>
        <v xml:space="preserve">                                                     </v>
      </c>
      <c r="J284" t="str">
        <f>""</f>
        <v/>
      </c>
    </row>
    <row r="285" spans="1:10">
      <c r="A285" s="1" t="str">
        <f>"3d6.(5D).4s (6D).5p"</f>
        <v>3d6.(5D).4s (6D).5p</v>
      </c>
      <c r="B285" t="str">
        <f>"n 7P*"</f>
        <v>n 7P*</v>
      </c>
      <c r="C285" t="str">
        <f>"2"</f>
        <v>2</v>
      </c>
      <c r="D285" t="str">
        <f>""</f>
        <v/>
      </c>
      <c r="E285" t="str">
        <f>"50901.172"</f>
        <v>50901.172</v>
      </c>
      <c r="F285" t="str">
        <f>""</f>
        <v/>
      </c>
      <c r="G285" t="str">
        <f t="shared" si="27"/>
        <v>0.001</v>
      </c>
      <c r="H285" t="str">
        <f>""</f>
        <v/>
      </c>
      <c r="I285" t="str">
        <f t="shared" si="28"/>
        <v xml:space="preserve">                                                     </v>
      </c>
      <c r="J285" t="str">
        <f>""</f>
        <v/>
      </c>
    </row>
    <row r="286" spans="1:10">
      <c r="A286" s="1" t="str">
        <f t="shared" ref="A286:A309" si="29">"3d6.(5D).4s (6D).4d"</f>
        <v>3d6.(5D).4s (6D).4d</v>
      </c>
      <c r="B286" t="str">
        <f t="shared" ref="B286:B291" si="30">"e 7F"</f>
        <v>e 7F</v>
      </c>
      <c r="C286" t="str">
        <f>"6"</f>
        <v>6</v>
      </c>
      <c r="D286" t="str">
        <f>""</f>
        <v/>
      </c>
      <c r="E286" t="str">
        <f>"50342.129"</f>
        <v>50342.129</v>
      </c>
      <c r="F286" t="str">
        <f>""</f>
        <v/>
      </c>
      <c r="G286" t="str">
        <f t="shared" si="27"/>
        <v>0.001</v>
      </c>
      <c r="H286" t="str">
        <f>"1.490"</f>
        <v>1.490</v>
      </c>
      <c r="I286" t="str">
        <f t="shared" si="28"/>
        <v xml:space="preserve">                                                     </v>
      </c>
      <c r="J286" t="str">
        <f>""</f>
        <v/>
      </c>
    </row>
    <row r="287" spans="1:10">
      <c r="A287" s="1" t="str">
        <f t="shared" si="29"/>
        <v>3d6.(5D).4s (6D).4d</v>
      </c>
      <c r="B287" t="str">
        <f t="shared" si="30"/>
        <v>e 7F</v>
      </c>
      <c r="C287" t="str">
        <f>"5"</f>
        <v>5</v>
      </c>
      <c r="D287" t="str">
        <f>""</f>
        <v/>
      </c>
      <c r="E287" t="str">
        <f>"50833.438"</f>
        <v>50833.438</v>
      </c>
      <c r="F287" t="str">
        <f>""</f>
        <v/>
      </c>
      <c r="G287" t="str">
        <f t="shared" si="27"/>
        <v>0.001</v>
      </c>
      <c r="H287" t="str">
        <f>"1.505"</f>
        <v>1.505</v>
      </c>
      <c r="I287" t="str">
        <f t="shared" si="28"/>
        <v xml:space="preserve">                                                     </v>
      </c>
      <c r="J287" t="str">
        <f>""</f>
        <v/>
      </c>
    </row>
    <row r="288" spans="1:10">
      <c r="A288" s="1" t="str">
        <f t="shared" si="29"/>
        <v>3d6.(5D).4s (6D).4d</v>
      </c>
      <c r="B288" t="str">
        <f t="shared" si="30"/>
        <v>e 7F</v>
      </c>
      <c r="C288" t="str">
        <f>"3"</f>
        <v>3</v>
      </c>
      <c r="D288" t="str">
        <f>""</f>
        <v/>
      </c>
      <c r="E288" t="str">
        <f>"51148.848"</f>
        <v>51148.848</v>
      </c>
      <c r="F288" t="str">
        <f>""</f>
        <v/>
      </c>
      <c r="G288" t="str">
        <f t="shared" si="27"/>
        <v>0.001</v>
      </c>
      <c r="H288" t="str">
        <f>"1.499"</f>
        <v>1.499</v>
      </c>
      <c r="I288" t="str">
        <f t="shared" si="28"/>
        <v xml:space="preserve">                                                     </v>
      </c>
      <c r="J288" t="str">
        <f>""</f>
        <v/>
      </c>
    </row>
    <row r="289" spans="1:10">
      <c r="A289" s="1" t="str">
        <f t="shared" si="29"/>
        <v>3d6.(5D).4s (6D).4d</v>
      </c>
      <c r="B289" t="str">
        <f t="shared" si="30"/>
        <v>e 7F</v>
      </c>
      <c r="C289" t="str">
        <f>"4"</f>
        <v>4</v>
      </c>
      <c r="D289" t="str">
        <f>""</f>
        <v/>
      </c>
      <c r="E289" t="str">
        <f>"51192.273"</f>
        <v>51192.273</v>
      </c>
      <c r="F289" t="str">
        <f>""</f>
        <v/>
      </c>
      <c r="G289" t="str">
        <f t="shared" si="27"/>
        <v>0.001</v>
      </c>
      <c r="H289" t="str">
        <f>"1.617"</f>
        <v>1.617</v>
      </c>
      <c r="I289" t="str">
        <f t="shared" si="28"/>
        <v xml:space="preserve">                                                     </v>
      </c>
      <c r="J289" t="str">
        <f>""</f>
        <v/>
      </c>
    </row>
    <row r="290" spans="1:10">
      <c r="A290" s="1" t="str">
        <f t="shared" si="29"/>
        <v>3d6.(5D).4s (6D).4d</v>
      </c>
      <c r="B290" t="str">
        <f t="shared" si="30"/>
        <v>e 7F</v>
      </c>
      <c r="C290" t="str">
        <f>"1"</f>
        <v>1</v>
      </c>
      <c r="D290" t="str">
        <f>""</f>
        <v/>
      </c>
      <c r="E290" t="str">
        <f>"51207.998"</f>
        <v>51207.998</v>
      </c>
      <c r="F290" t="str">
        <f>""</f>
        <v/>
      </c>
      <c r="G290" t="str">
        <f t="shared" si="27"/>
        <v>0.001</v>
      </c>
      <c r="H290" t="str">
        <f>"2.490"</f>
        <v>2.490</v>
      </c>
      <c r="I290" t="str">
        <f t="shared" si="28"/>
        <v xml:space="preserve">                                                     </v>
      </c>
      <c r="J290" t="str">
        <f>""</f>
        <v/>
      </c>
    </row>
    <row r="291" spans="1:10">
      <c r="A291" s="1" t="str">
        <f t="shared" si="29"/>
        <v>3d6.(5D).4s (6D).4d</v>
      </c>
      <c r="B291" t="str">
        <f t="shared" si="30"/>
        <v>e 7F</v>
      </c>
      <c r="C291" t="str">
        <f>"2"</f>
        <v>2</v>
      </c>
      <c r="D291" t="str">
        <f>""</f>
        <v/>
      </c>
      <c r="E291" t="str">
        <f>"51331.052"</f>
        <v>51331.052</v>
      </c>
      <c r="F291" t="str">
        <f>""</f>
        <v/>
      </c>
      <c r="G291" t="str">
        <f t="shared" si="27"/>
        <v>0.001</v>
      </c>
      <c r="H291" t="str">
        <f>""</f>
        <v/>
      </c>
      <c r="I291" t="str">
        <f t="shared" si="28"/>
        <v xml:space="preserve">                                                     </v>
      </c>
      <c r="J291" t="str">
        <f>""</f>
        <v/>
      </c>
    </row>
    <row r="292" spans="1:10">
      <c r="A292" s="1" t="str">
        <f t="shared" si="29"/>
        <v>3d6.(5D).4s (6D).4d</v>
      </c>
      <c r="B292" t="str">
        <f>"f 7D"</f>
        <v>f 7D</v>
      </c>
      <c r="C292" t="str">
        <f>"5"</f>
        <v>5</v>
      </c>
      <c r="D292" t="str">
        <f>""</f>
        <v/>
      </c>
      <c r="E292" t="str">
        <f>"50377.908"</f>
        <v>50377.908</v>
      </c>
      <c r="F292" t="str">
        <f>""</f>
        <v/>
      </c>
      <c r="G292" t="str">
        <f t="shared" si="27"/>
        <v>0.001</v>
      </c>
      <c r="H292" t="str">
        <f>"1.510"</f>
        <v>1.510</v>
      </c>
      <c r="I292" t="str">
        <f t="shared" si="28"/>
        <v xml:space="preserve">                                                     </v>
      </c>
      <c r="J292" t="str">
        <f>""</f>
        <v/>
      </c>
    </row>
    <row r="293" spans="1:10">
      <c r="A293" s="1" t="str">
        <f t="shared" si="29"/>
        <v>3d6.(5D).4s (6D).4d</v>
      </c>
      <c r="B293" t="str">
        <f>"f 7D"</f>
        <v>f 7D</v>
      </c>
      <c r="C293" t="str">
        <f>"4"</f>
        <v>4</v>
      </c>
      <c r="D293" t="str">
        <f>""</f>
        <v/>
      </c>
      <c r="E293" t="str">
        <f>"50807.997"</f>
        <v>50807.997</v>
      </c>
      <c r="F293" t="str">
        <f>""</f>
        <v/>
      </c>
      <c r="G293" t="str">
        <f t="shared" si="27"/>
        <v>0.001</v>
      </c>
      <c r="H293" t="str">
        <f>"1.574"</f>
        <v>1.574</v>
      </c>
      <c r="I293" t="str">
        <f t="shared" si="28"/>
        <v xml:space="preserve">                                                     </v>
      </c>
      <c r="J293" t="str">
        <f>""</f>
        <v/>
      </c>
    </row>
    <row r="294" spans="1:10">
      <c r="A294" s="1" t="str">
        <f t="shared" si="29"/>
        <v>3d6.(5D).4s (6D).4d</v>
      </c>
      <c r="B294" t="str">
        <f>"f 7D"</f>
        <v>f 7D</v>
      </c>
      <c r="C294" t="str">
        <f>"3"</f>
        <v>3</v>
      </c>
      <c r="D294" t="str">
        <f>""</f>
        <v/>
      </c>
      <c r="E294" t="str">
        <f>"50861.816"</f>
        <v>50861.816</v>
      </c>
      <c r="F294" t="str">
        <f>""</f>
        <v/>
      </c>
      <c r="G294" t="str">
        <f t="shared" si="27"/>
        <v>0.001</v>
      </c>
      <c r="H294" t="str">
        <f>""</f>
        <v/>
      </c>
      <c r="I294" t="str">
        <f t="shared" si="28"/>
        <v xml:space="preserve">                                                     </v>
      </c>
      <c r="J294" t="str">
        <f>""</f>
        <v/>
      </c>
    </row>
    <row r="295" spans="1:10">
      <c r="A295" s="1" t="str">
        <f t="shared" si="29"/>
        <v>3d6.(5D).4s (6D).4d</v>
      </c>
      <c r="B295" t="str">
        <f>"f 7D"</f>
        <v>f 7D</v>
      </c>
      <c r="C295" t="str">
        <f>"2"</f>
        <v>2</v>
      </c>
      <c r="D295" t="str">
        <f>""</f>
        <v/>
      </c>
      <c r="E295" t="str">
        <f>"50998.645"</f>
        <v>50998.645</v>
      </c>
      <c r="F295" t="str">
        <f>""</f>
        <v/>
      </c>
      <c r="G295" t="str">
        <f t="shared" si="27"/>
        <v>0.001</v>
      </c>
      <c r="H295" t="str">
        <f>"1.844"</f>
        <v>1.844</v>
      </c>
      <c r="I295" t="str">
        <f t="shared" si="28"/>
        <v xml:space="preserve">                                                     </v>
      </c>
      <c r="J295" t="str">
        <f>""</f>
        <v/>
      </c>
    </row>
    <row r="296" spans="1:10">
      <c r="A296" s="1" t="str">
        <f t="shared" si="29"/>
        <v>3d6.(5D).4s (6D).4d</v>
      </c>
      <c r="B296" t="str">
        <f>"f 7D"</f>
        <v>f 7D</v>
      </c>
      <c r="C296" t="str">
        <f>"1"</f>
        <v>1</v>
      </c>
      <c r="D296" t="str">
        <f>""</f>
        <v/>
      </c>
      <c r="E296" t="str">
        <f>"51048.107"</f>
        <v>51048.107</v>
      </c>
      <c r="F296" t="str">
        <f>""</f>
        <v/>
      </c>
      <c r="G296" t="str">
        <f t="shared" si="27"/>
        <v>0.001</v>
      </c>
      <c r="H296" t="str">
        <f>""</f>
        <v/>
      </c>
      <c r="I296" t="str">
        <f t="shared" si="28"/>
        <v xml:space="preserve">                                                     </v>
      </c>
      <c r="J296" t="str">
        <f>""</f>
        <v/>
      </c>
    </row>
    <row r="297" spans="1:10">
      <c r="A297" s="1" t="str">
        <f t="shared" si="29"/>
        <v>3d6.(5D).4s (6D).4d</v>
      </c>
      <c r="B297" t="str">
        <f>"f 5D"</f>
        <v>f 5D</v>
      </c>
      <c r="C297" t="str">
        <f>"4"</f>
        <v>4</v>
      </c>
      <c r="D297" t="str">
        <f>""</f>
        <v/>
      </c>
      <c r="E297" t="str">
        <f>"50423.137"</f>
        <v>50423.137</v>
      </c>
      <c r="F297" t="str">
        <f>""</f>
        <v/>
      </c>
      <c r="G297" t="str">
        <f t="shared" si="27"/>
        <v>0.001</v>
      </c>
      <c r="H297" t="str">
        <f>"1.514"</f>
        <v>1.514</v>
      </c>
      <c r="I297" t="str">
        <f t="shared" si="28"/>
        <v xml:space="preserve">                                                     </v>
      </c>
      <c r="J297" t="str">
        <f>""</f>
        <v/>
      </c>
    </row>
    <row r="298" spans="1:10">
      <c r="A298" s="1" t="str">
        <f t="shared" si="29"/>
        <v>3d6.(5D).4s (6D).4d</v>
      </c>
      <c r="B298" t="str">
        <f>"f 5D"</f>
        <v>f 5D</v>
      </c>
      <c r="C298" t="str">
        <f>"3"</f>
        <v>3</v>
      </c>
      <c r="D298" t="str">
        <f>""</f>
        <v/>
      </c>
      <c r="E298" t="str">
        <f>"50534.397"</f>
        <v>50534.397</v>
      </c>
      <c r="F298" t="str">
        <f>""</f>
        <v/>
      </c>
      <c r="G298" t="str">
        <f t="shared" si="27"/>
        <v>0.001</v>
      </c>
      <c r="H298" t="str">
        <f>"1.615"</f>
        <v>1.615</v>
      </c>
      <c r="I298" t="str">
        <f t="shared" si="28"/>
        <v xml:space="preserve">                                                     </v>
      </c>
      <c r="J298" t="str">
        <f>""</f>
        <v/>
      </c>
    </row>
    <row r="299" spans="1:10">
      <c r="A299" s="1" t="str">
        <f t="shared" si="29"/>
        <v>3d6.(5D).4s (6D).4d</v>
      </c>
      <c r="B299" t="str">
        <f>"f 5D"</f>
        <v>f 5D</v>
      </c>
      <c r="C299" t="str">
        <f>"2"</f>
        <v>2</v>
      </c>
      <c r="D299" t="str">
        <f>""</f>
        <v/>
      </c>
      <c r="E299" t="str">
        <f>"50698.620"</f>
        <v>50698.620</v>
      </c>
      <c r="F299" t="str">
        <f>""</f>
        <v/>
      </c>
      <c r="G299" t="str">
        <f t="shared" si="27"/>
        <v>0.001</v>
      </c>
      <c r="H299" t="str">
        <f>"1.614"</f>
        <v>1.614</v>
      </c>
      <c r="I299" t="str">
        <f t="shared" si="28"/>
        <v xml:space="preserve">                                                     </v>
      </c>
      <c r="J299" t="str">
        <f>""</f>
        <v/>
      </c>
    </row>
    <row r="300" spans="1:10">
      <c r="A300" s="1" t="str">
        <f t="shared" si="29"/>
        <v>3d6.(5D).4s (6D).4d</v>
      </c>
      <c r="B300" t="str">
        <f>"f 5D"</f>
        <v>f 5D</v>
      </c>
      <c r="C300" t="str">
        <f>"1"</f>
        <v>1</v>
      </c>
      <c r="D300" t="str">
        <f>""</f>
        <v/>
      </c>
      <c r="E300" t="str">
        <f>"50880.102"</f>
        <v>50880.102</v>
      </c>
      <c r="F300" t="str">
        <f>""</f>
        <v/>
      </c>
      <c r="G300" t="str">
        <f t="shared" si="27"/>
        <v>0.001</v>
      </c>
      <c r="H300" t="str">
        <f>"1.662"</f>
        <v>1.662</v>
      </c>
      <c r="I300" t="str">
        <f t="shared" si="28"/>
        <v xml:space="preserve">                                                     </v>
      </c>
      <c r="J300" t="str">
        <f>""</f>
        <v/>
      </c>
    </row>
    <row r="301" spans="1:10">
      <c r="A301" s="1" t="str">
        <f t="shared" si="29"/>
        <v>3d6.(5D).4s (6D).4d</v>
      </c>
      <c r="B301" t="str">
        <f>"f 5D"</f>
        <v>f 5D</v>
      </c>
      <c r="C301" t="str">
        <f>"0"</f>
        <v>0</v>
      </c>
      <c r="D301" t="str">
        <f>""</f>
        <v/>
      </c>
      <c r="E301" t="str">
        <f>"50981.012"</f>
        <v>50981.012</v>
      </c>
      <c r="F301" t="str">
        <f>""</f>
        <v/>
      </c>
      <c r="G301" t="str">
        <f>"0.002"</f>
        <v>0.002</v>
      </c>
      <c r="H301" t="str">
        <f>""</f>
        <v/>
      </c>
      <c r="I301" t="str">
        <f t="shared" si="28"/>
        <v xml:space="preserve">                                                     </v>
      </c>
      <c r="J301" t="str">
        <f>""</f>
        <v/>
      </c>
    </row>
    <row r="302" spans="1:10">
      <c r="A302" s="1" t="str">
        <f t="shared" si="29"/>
        <v>3d6.(5D).4s (6D).4d</v>
      </c>
      <c r="B302" t="str">
        <f>"e 7P"</f>
        <v>e 7P</v>
      </c>
      <c r="C302" t="str">
        <f>"4"</f>
        <v>4</v>
      </c>
      <c r="D302" t="str">
        <f>""</f>
        <v/>
      </c>
      <c r="E302" t="str">
        <f>"50475.288"</f>
        <v>50475.288</v>
      </c>
      <c r="F302" t="str">
        <f>""</f>
        <v/>
      </c>
      <c r="G302" t="str">
        <f t="shared" ref="G302:G309" si="31">"0.001"</f>
        <v>0.001</v>
      </c>
      <c r="H302" t="str">
        <f>"1.585"</f>
        <v>1.585</v>
      </c>
      <c r="I302" t="str">
        <f t="shared" si="28"/>
        <v xml:space="preserve">                                                     </v>
      </c>
      <c r="J302" t="str">
        <f>""</f>
        <v/>
      </c>
    </row>
    <row r="303" spans="1:10">
      <c r="A303" s="1" t="str">
        <f t="shared" si="29"/>
        <v>3d6.(5D).4s (6D).4d</v>
      </c>
      <c r="B303" t="str">
        <f>"e 7P"</f>
        <v>e 7P</v>
      </c>
      <c r="C303" t="str">
        <f>"3"</f>
        <v>3</v>
      </c>
      <c r="D303" t="str">
        <f>""</f>
        <v/>
      </c>
      <c r="E303" t="str">
        <f>"50611.261"</f>
        <v>50611.261</v>
      </c>
      <c r="F303" t="str">
        <f>""</f>
        <v/>
      </c>
      <c r="G303" t="str">
        <f t="shared" si="31"/>
        <v>0.001</v>
      </c>
      <c r="H303" t="str">
        <f>"1.687"</f>
        <v>1.687</v>
      </c>
      <c r="I303" t="str">
        <f t="shared" si="28"/>
        <v xml:space="preserve">                                                     </v>
      </c>
      <c r="J303" t="str">
        <f>""</f>
        <v/>
      </c>
    </row>
    <row r="304" spans="1:10">
      <c r="A304" s="1" t="str">
        <f t="shared" si="29"/>
        <v>3d6.(5D).4s (6D).4d</v>
      </c>
      <c r="B304" t="str">
        <f>"e 7P"</f>
        <v>e 7P</v>
      </c>
      <c r="C304" t="str">
        <f>"2"</f>
        <v>2</v>
      </c>
      <c r="D304" t="str">
        <f>""</f>
        <v/>
      </c>
      <c r="E304" t="str">
        <f>"50861.327"</f>
        <v>50861.327</v>
      </c>
      <c r="F304" t="str">
        <f>""</f>
        <v/>
      </c>
      <c r="G304" t="str">
        <f t="shared" si="31"/>
        <v>0.001</v>
      </c>
      <c r="H304" t="str">
        <f>""</f>
        <v/>
      </c>
      <c r="I304" t="str">
        <f t="shared" si="28"/>
        <v xml:space="preserve">                                                     </v>
      </c>
      <c r="J304" t="str">
        <f>""</f>
        <v/>
      </c>
    </row>
    <row r="305" spans="1:10">
      <c r="A305" s="1" t="str">
        <f t="shared" si="29"/>
        <v>3d6.(5D).4s (6D).4d</v>
      </c>
      <c r="B305" t="str">
        <f>"e 5G"</f>
        <v>e 5G</v>
      </c>
      <c r="C305" t="str">
        <f>"6"</f>
        <v>6</v>
      </c>
      <c r="D305" t="str">
        <f>""</f>
        <v/>
      </c>
      <c r="E305" t="str">
        <f>"50522.944"</f>
        <v>50522.944</v>
      </c>
      <c r="F305" t="str">
        <f>""</f>
        <v/>
      </c>
      <c r="G305" t="str">
        <f t="shared" si="31"/>
        <v>0.001</v>
      </c>
      <c r="H305" t="str">
        <f>"1.351"</f>
        <v>1.351</v>
      </c>
      <c r="I305" t="str">
        <f t="shared" si="28"/>
        <v xml:space="preserve">                                                     </v>
      </c>
      <c r="J305" t="str">
        <f>""</f>
        <v/>
      </c>
    </row>
    <row r="306" spans="1:10">
      <c r="A306" s="1" t="str">
        <f t="shared" si="29"/>
        <v>3d6.(5D).4s (6D).4d</v>
      </c>
      <c r="B306" t="str">
        <f>"e 5G"</f>
        <v>e 5G</v>
      </c>
      <c r="C306" t="str">
        <f>"5"</f>
        <v>5</v>
      </c>
      <c r="D306" t="str">
        <f>""</f>
        <v/>
      </c>
      <c r="E306" t="str">
        <f>"50703.870"</f>
        <v>50703.870</v>
      </c>
      <c r="F306" t="str">
        <f>""</f>
        <v/>
      </c>
      <c r="G306" t="str">
        <f t="shared" si="31"/>
        <v>0.001</v>
      </c>
      <c r="H306" t="str">
        <f>"1.360"</f>
        <v>1.360</v>
      </c>
      <c r="I306" t="str">
        <f t="shared" si="28"/>
        <v xml:space="preserve">                                                     </v>
      </c>
      <c r="J306" t="str">
        <f>""</f>
        <v/>
      </c>
    </row>
    <row r="307" spans="1:10">
      <c r="A307" s="1" t="str">
        <f t="shared" si="29"/>
        <v>3d6.(5D).4s (6D).4d</v>
      </c>
      <c r="B307" t="str">
        <f>"e 5G"</f>
        <v>e 5G</v>
      </c>
      <c r="C307" t="str">
        <f>"4"</f>
        <v>4</v>
      </c>
      <c r="D307" t="str">
        <f>""</f>
        <v/>
      </c>
      <c r="E307" t="str">
        <f>"50979.579"</f>
        <v>50979.579</v>
      </c>
      <c r="F307" t="str">
        <f>""</f>
        <v/>
      </c>
      <c r="G307" t="str">
        <f t="shared" si="31"/>
        <v>0.001</v>
      </c>
      <c r="H307" t="str">
        <f>"1.238"</f>
        <v>1.238</v>
      </c>
      <c r="I307" t="str">
        <f t="shared" si="28"/>
        <v xml:space="preserve">                                                     </v>
      </c>
      <c r="J307" t="str">
        <f>""</f>
        <v/>
      </c>
    </row>
    <row r="308" spans="1:10">
      <c r="A308" s="1" t="str">
        <f t="shared" si="29"/>
        <v>3d6.(5D).4s (6D).4d</v>
      </c>
      <c r="B308" t="str">
        <f>"e 5G"</f>
        <v>e 5G</v>
      </c>
      <c r="C308" t="str">
        <f>"3"</f>
        <v>3</v>
      </c>
      <c r="D308" t="str">
        <f>""</f>
        <v/>
      </c>
      <c r="E308" t="str">
        <f>"51219.015"</f>
        <v>51219.015</v>
      </c>
      <c r="F308" t="str">
        <f>""</f>
        <v/>
      </c>
      <c r="G308" t="str">
        <f t="shared" si="31"/>
        <v>0.001</v>
      </c>
      <c r="H308" t="str">
        <f>"1.294"</f>
        <v>1.294</v>
      </c>
      <c r="I308" t="str">
        <f t="shared" si="28"/>
        <v xml:space="preserve">                                                     </v>
      </c>
      <c r="J308" t="str">
        <f>""</f>
        <v/>
      </c>
    </row>
    <row r="309" spans="1:10">
      <c r="A309" s="1" t="str">
        <f t="shared" si="29"/>
        <v>3d6.(5D).4s (6D).4d</v>
      </c>
      <c r="B309" t="str">
        <f>"e 5G"</f>
        <v>e 5G</v>
      </c>
      <c r="C309" t="str">
        <f>"2"</f>
        <v>2</v>
      </c>
      <c r="D309" t="str">
        <f>""</f>
        <v/>
      </c>
      <c r="E309" t="str">
        <f>"51370.145"</f>
        <v>51370.145</v>
      </c>
      <c r="F309" t="str">
        <f>""</f>
        <v/>
      </c>
      <c r="G309" t="str">
        <f t="shared" si="31"/>
        <v>0.001</v>
      </c>
      <c r="H309" t="str">
        <f>"0.953"</f>
        <v>0.953</v>
      </c>
      <c r="I309" t="str">
        <f t="shared" si="28"/>
        <v xml:space="preserve">                                                     </v>
      </c>
      <c r="J309" t="str">
        <f>""</f>
        <v/>
      </c>
    </row>
    <row r="310" spans="1:10">
      <c r="A310" s="1" t="str">
        <f>"3d7.(2G).4p"</f>
        <v>3d7.(2G).4p</v>
      </c>
      <c r="B310" t="str">
        <f>"z 1F*"</f>
        <v>z 1F*</v>
      </c>
      <c r="C310" t="str">
        <f>"3"</f>
        <v>3</v>
      </c>
      <c r="D310" t="str">
        <f>""</f>
        <v/>
      </c>
      <c r="E310" t="str">
        <f>"50586.878"</f>
        <v>50586.878</v>
      </c>
      <c r="F310" t="str">
        <f>""</f>
        <v/>
      </c>
      <c r="G310" t="str">
        <f>"0.002"</f>
        <v>0.002</v>
      </c>
      <c r="H310" t="str">
        <f>"1.018"</f>
        <v>1.018</v>
      </c>
      <c r="I310" t="str">
        <f>"  36             :    23  3d7.(2D2).4p          1F*  "</f>
        <v xml:space="preserve">  36             :    23  3d7.(2D2).4p          1F*  </v>
      </c>
      <c r="J310" t="str">
        <f>""</f>
        <v/>
      </c>
    </row>
    <row r="311" spans="1:10">
      <c r="A311" s="1" t="str">
        <f>"3d6.(3F2).4s.4p.(3P*)"</f>
        <v>3d6.(3F2).4s.4p.(3P*)</v>
      </c>
      <c r="B311" t="str">
        <f>"x 1G*"</f>
        <v>x 1G*</v>
      </c>
      <c r="C311" t="str">
        <f>"4"</f>
        <v>4</v>
      </c>
      <c r="D311" t="str">
        <f>""</f>
        <v/>
      </c>
      <c r="E311" t="str">
        <f>"50613.983"</f>
        <v>50613.983</v>
      </c>
      <c r="F311" t="str">
        <f>""</f>
        <v/>
      </c>
      <c r="G311" t="str">
        <f>"0.002"</f>
        <v>0.002</v>
      </c>
      <c r="H311" t="str">
        <f>"0.978"</f>
        <v>0.978</v>
      </c>
      <c r="I311" t="str">
        <f>"  64             :     9  3d7.(2H).4p           1G*  "</f>
        <v xml:space="preserve">  64             :     9  3d7.(2H).4p           1G*  </v>
      </c>
      <c r="J311" t="str">
        <f>""</f>
        <v/>
      </c>
    </row>
    <row r="312" spans="1:10">
      <c r="A312" s="1" t="str">
        <f t="shared" ref="A312:A318" si="32">"3d6.(5D).4s (6D).4d"</f>
        <v>3d6.(5D).4s (6D).4d</v>
      </c>
      <c r="B312" t="str">
        <f t="shared" ref="B312:B318" si="33">"e 7G"</f>
        <v>e 7G</v>
      </c>
      <c r="C312" t="str">
        <f>"7"</f>
        <v>7</v>
      </c>
      <c r="D312" t="str">
        <f>""</f>
        <v/>
      </c>
      <c r="E312" t="str">
        <f>"50651.632"</f>
        <v>50651.632</v>
      </c>
      <c r="F312" t="str">
        <f>""</f>
        <v/>
      </c>
      <c r="G312" t="str">
        <f>"0.002"</f>
        <v>0.002</v>
      </c>
      <c r="H312" t="str">
        <f>""</f>
        <v/>
      </c>
      <c r="I312" t="str">
        <f t="shared" ref="I312:I323" si="34">"                                                     "</f>
        <v xml:space="preserve">                                                     </v>
      </c>
      <c r="J312" t="str">
        <f>""</f>
        <v/>
      </c>
    </row>
    <row r="313" spans="1:10">
      <c r="A313" s="1" t="str">
        <f t="shared" si="32"/>
        <v>3d6.(5D).4s (6D).4d</v>
      </c>
      <c r="B313" t="str">
        <f t="shared" si="33"/>
        <v>e 7G</v>
      </c>
      <c r="C313" t="str">
        <f>"6"</f>
        <v>6</v>
      </c>
      <c r="D313" t="str">
        <f>""</f>
        <v/>
      </c>
      <c r="E313" t="str">
        <f>"50967.831"</f>
        <v>50967.831</v>
      </c>
      <c r="F313" t="str">
        <f>""</f>
        <v/>
      </c>
      <c r="G313" t="str">
        <f>"0.001"</f>
        <v>0.001</v>
      </c>
      <c r="H313" t="str">
        <f>"1.415"</f>
        <v>1.415</v>
      </c>
      <c r="I313" t="str">
        <f t="shared" si="34"/>
        <v xml:space="preserve">                                                     </v>
      </c>
      <c r="J313" t="str">
        <f>""</f>
        <v/>
      </c>
    </row>
    <row r="314" spans="1:10">
      <c r="A314" s="1" t="str">
        <f t="shared" si="32"/>
        <v>3d6.(5D).4s (6D).4d</v>
      </c>
      <c r="B314" t="str">
        <f t="shared" si="33"/>
        <v>e 7G</v>
      </c>
      <c r="C314" t="str">
        <f>"5"</f>
        <v>5</v>
      </c>
      <c r="D314" t="str">
        <f>""</f>
        <v/>
      </c>
      <c r="E314" t="str">
        <f>"51228.553"</f>
        <v>51228.553</v>
      </c>
      <c r="F314" t="str">
        <f>""</f>
        <v/>
      </c>
      <c r="G314" t="str">
        <f>"0.001"</f>
        <v>0.001</v>
      </c>
      <c r="H314" t="str">
        <f>"1.379"</f>
        <v>1.379</v>
      </c>
      <c r="I314" t="str">
        <f t="shared" si="34"/>
        <v xml:space="preserve">                                                     </v>
      </c>
      <c r="J314" t="str">
        <f>""</f>
        <v/>
      </c>
    </row>
    <row r="315" spans="1:10">
      <c r="A315" s="1" t="str">
        <f t="shared" si="32"/>
        <v>3d6.(5D).4s (6D).4d</v>
      </c>
      <c r="B315" t="str">
        <f t="shared" si="33"/>
        <v>e 7G</v>
      </c>
      <c r="C315" t="str">
        <f>"4"</f>
        <v>4</v>
      </c>
      <c r="D315" t="str">
        <f>""</f>
        <v/>
      </c>
      <c r="E315" t="str">
        <f>"51334.911"</f>
        <v>51334.911</v>
      </c>
      <c r="F315" t="str">
        <f>""</f>
        <v/>
      </c>
      <c r="G315" t="str">
        <f>"0.001"</f>
        <v>0.001</v>
      </c>
      <c r="H315" t="str">
        <f>"1.338"</f>
        <v>1.338</v>
      </c>
      <c r="I315" t="str">
        <f t="shared" si="34"/>
        <v xml:space="preserve">                                                     </v>
      </c>
      <c r="J315" t="str">
        <f>""</f>
        <v/>
      </c>
    </row>
    <row r="316" spans="1:10">
      <c r="A316" s="1" t="str">
        <f t="shared" si="32"/>
        <v>3d6.(5D).4s (6D).4d</v>
      </c>
      <c r="B316" t="str">
        <f t="shared" si="33"/>
        <v>e 7G</v>
      </c>
      <c r="C316" t="str">
        <f>"3"</f>
        <v>3</v>
      </c>
      <c r="D316" t="str">
        <f>""</f>
        <v/>
      </c>
      <c r="E316" t="str">
        <f>"51460.518"</f>
        <v>51460.518</v>
      </c>
      <c r="F316" t="str">
        <f>""</f>
        <v/>
      </c>
      <c r="G316" t="str">
        <f>"0.001"</f>
        <v>0.001</v>
      </c>
      <c r="H316" t="str">
        <f>"1.244"</f>
        <v>1.244</v>
      </c>
      <c r="I316" t="str">
        <f t="shared" si="34"/>
        <v xml:space="preserve">                                                     </v>
      </c>
      <c r="J316" t="str">
        <f>""</f>
        <v/>
      </c>
    </row>
    <row r="317" spans="1:10">
      <c r="A317" s="1" t="str">
        <f t="shared" si="32"/>
        <v>3d6.(5D).4s (6D).4d</v>
      </c>
      <c r="B317" t="str">
        <f t="shared" si="33"/>
        <v>e 7G</v>
      </c>
      <c r="C317" t="str">
        <f>"2"</f>
        <v>2</v>
      </c>
      <c r="D317" t="str">
        <f>""</f>
        <v/>
      </c>
      <c r="E317" t="str">
        <f>"51539.720"</f>
        <v>51539.720</v>
      </c>
      <c r="F317" t="str">
        <f>""</f>
        <v/>
      </c>
      <c r="G317" t="str">
        <f>"0.001"</f>
        <v>0.001</v>
      </c>
      <c r="H317" t="str">
        <f>""</f>
        <v/>
      </c>
      <c r="I317" t="str">
        <f t="shared" si="34"/>
        <v xml:space="preserve">                                                     </v>
      </c>
      <c r="J317" t="str">
        <f>""</f>
        <v/>
      </c>
    </row>
    <row r="318" spans="1:10">
      <c r="A318" s="1" t="str">
        <f t="shared" si="32"/>
        <v>3d6.(5D).4s (6D).4d</v>
      </c>
      <c r="B318" t="str">
        <f t="shared" si="33"/>
        <v>e 7G</v>
      </c>
      <c r="C318" t="str">
        <f>"1"</f>
        <v>1</v>
      </c>
      <c r="D318" t="str">
        <f>""</f>
        <v/>
      </c>
      <c r="E318" t="str">
        <f>"51566.802"</f>
        <v>51566.802</v>
      </c>
      <c r="F318" t="str">
        <f>""</f>
        <v/>
      </c>
      <c r="G318" t="str">
        <f>"0.002"</f>
        <v>0.002</v>
      </c>
      <c r="H318" t="str">
        <f>"-0.374"</f>
        <v>-0.374</v>
      </c>
      <c r="I318" t="str">
        <f t="shared" si="34"/>
        <v xml:space="preserve">                                                     </v>
      </c>
      <c r="J318" t="str">
        <f>""</f>
        <v/>
      </c>
    </row>
    <row r="319" spans="1:10">
      <c r="A319" s="1" t="str">
        <f>"3d6.(5D).4s (6D).5p"</f>
        <v>3d6.(5D).4s (6D).5p</v>
      </c>
      <c r="B319" t="str">
        <f>"u 5F*"</f>
        <v>u 5F*</v>
      </c>
      <c r="C319" t="str">
        <f>"5"</f>
        <v>5</v>
      </c>
      <c r="D319" t="str">
        <f>""</f>
        <v/>
      </c>
      <c r="E319" t="str">
        <f>"51016.660"</f>
        <v>51016.660</v>
      </c>
      <c r="F319" t="str">
        <f>""</f>
        <v/>
      </c>
      <c r="G319" t="str">
        <f>"0.001"</f>
        <v>0.001</v>
      </c>
      <c r="H319" t="str">
        <f>""</f>
        <v/>
      </c>
      <c r="I319" t="str">
        <f t="shared" si="34"/>
        <v xml:space="preserve">                                                     </v>
      </c>
      <c r="J319" t="str">
        <f>""</f>
        <v/>
      </c>
    </row>
    <row r="320" spans="1:10">
      <c r="A320" s="1" t="str">
        <f>"3d6.(5D).4s (6D).5p"</f>
        <v>3d6.(5D).4s (6D).5p</v>
      </c>
      <c r="B320" t="str">
        <f>"u 5F*"</f>
        <v>u 5F*</v>
      </c>
      <c r="C320" t="str">
        <f>"4"</f>
        <v>4</v>
      </c>
      <c r="D320" t="str">
        <f>""</f>
        <v/>
      </c>
      <c r="E320" t="str">
        <f>"51381.457"</f>
        <v>51381.457</v>
      </c>
      <c r="F320" t="str">
        <f>""</f>
        <v/>
      </c>
      <c r="G320" t="str">
        <f>"0.001"</f>
        <v>0.001</v>
      </c>
      <c r="H320" t="str">
        <f>""</f>
        <v/>
      </c>
      <c r="I320" t="str">
        <f t="shared" si="34"/>
        <v xml:space="preserve">                                                     </v>
      </c>
      <c r="J320" t="str">
        <f>""</f>
        <v/>
      </c>
    </row>
    <row r="321" spans="1:10">
      <c r="A321" s="1" t="str">
        <f>"3d6.(5D).4s (6D).5p"</f>
        <v>3d6.(5D).4s (6D).5p</v>
      </c>
      <c r="B321" t="str">
        <f>"u 5F*"</f>
        <v>u 5F*</v>
      </c>
      <c r="C321" t="str">
        <f>"3"</f>
        <v>3</v>
      </c>
      <c r="D321" t="str">
        <f>""</f>
        <v/>
      </c>
      <c r="E321" t="str">
        <f>"51619.076"</f>
        <v>51619.076</v>
      </c>
      <c r="F321" t="str">
        <f>""</f>
        <v/>
      </c>
      <c r="G321" t="str">
        <f>"0.001"</f>
        <v>0.001</v>
      </c>
      <c r="H321" t="str">
        <f>""</f>
        <v/>
      </c>
      <c r="I321" t="str">
        <f t="shared" si="34"/>
        <v xml:space="preserve">                                                     </v>
      </c>
      <c r="J321" t="str">
        <f>""</f>
        <v/>
      </c>
    </row>
    <row r="322" spans="1:10">
      <c r="A322" s="1" t="str">
        <f>"3d6.(5D).4s (6D).5p"</f>
        <v>3d6.(5D).4s (6D).5p</v>
      </c>
      <c r="B322" t="str">
        <f>"u 5F*"</f>
        <v>u 5F*</v>
      </c>
      <c r="C322" t="str">
        <f>"2"</f>
        <v>2</v>
      </c>
      <c r="D322" t="str">
        <f>""</f>
        <v/>
      </c>
      <c r="E322" t="str">
        <f>"51827.413"</f>
        <v>51827.413</v>
      </c>
      <c r="F322" t="str">
        <f>""</f>
        <v/>
      </c>
      <c r="G322" t="str">
        <f>"0.001"</f>
        <v>0.001</v>
      </c>
      <c r="H322" t="str">
        <f>""</f>
        <v/>
      </c>
      <c r="I322" t="str">
        <f t="shared" si="34"/>
        <v xml:space="preserve">                                                     </v>
      </c>
      <c r="J322" t="str">
        <f>""</f>
        <v/>
      </c>
    </row>
    <row r="323" spans="1:10">
      <c r="A323" s="1" t="str">
        <f>"3d6.(5D).4s (6D).5p"</f>
        <v>3d6.(5D).4s (6D).5p</v>
      </c>
      <c r="B323" t="str">
        <f>"u 5F*"</f>
        <v>u 5F*</v>
      </c>
      <c r="C323" t="str">
        <f>"1"</f>
        <v>1</v>
      </c>
      <c r="D323" t="str">
        <f>""</f>
        <v/>
      </c>
      <c r="E323" t="str">
        <f>"51945.817"</f>
        <v>51945.817</v>
      </c>
      <c r="F323" t="str">
        <f>""</f>
        <v/>
      </c>
      <c r="G323" t="str">
        <f>"0.001"</f>
        <v>0.001</v>
      </c>
      <c r="H323" t="str">
        <f>""</f>
        <v/>
      </c>
      <c r="I323" t="str">
        <f t="shared" si="34"/>
        <v xml:space="preserve">                                                     </v>
      </c>
      <c r="J323" t="str">
        <f>""</f>
        <v/>
      </c>
    </row>
    <row r="324" spans="1:10">
      <c r="A324" s="1" t="str">
        <f>"3d6.(3G).4s.4p.(3P*)"</f>
        <v>3d6.(3G).4s.4p.(3P*)</v>
      </c>
      <c r="B324" t="str">
        <f>"x 3H*"</f>
        <v>x 3H*</v>
      </c>
      <c r="C324" t="str">
        <f>"6"</f>
        <v>6</v>
      </c>
      <c r="D324" t="str">
        <f>""</f>
        <v/>
      </c>
      <c r="E324" t="str">
        <f>"51023.162"</f>
        <v>51023.162</v>
      </c>
      <c r="F324" t="str">
        <f>""</f>
        <v/>
      </c>
      <c r="G324" t="str">
        <f>"0.002"</f>
        <v>0.002</v>
      </c>
      <c r="H324" t="str">
        <f>"1.161"</f>
        <v>1.161</v>
      </c>
      <c r="I324" t="str">
        <f>"  80             :    15  3d6.(3H).4s.4p.(3P*)  3H*  "</f>
        <v xml:space="preserve">  80             :    15  3d6.(3H).4s.4p.(3P*)  3H*  </v>
      </c>
      <c r="J324" t="str">
        <f>""</f>
        <v/>
      </c>
    </row>
    <row r="325" spans="1:10">
      <c r="A325" s="1" t="str">
        <f>"3d6.(3G).4s.4p.(3P*)"</f>
        <v>3d6.(3G).4s.4p.(3P*)</v>
      </c>
      <c r="B325" t="str">
        <f>"x 3H*"</f>
        <v>x 3H*</v>
      </c>
      <c r="C325" t="str">
        <f>"5"</f>
        <v>5</v>
      </c>
      <c r="D325" t="str">
        <f>""</f>
        <v/>
      </c>
      <c r="E325" t="str">
        <f>"51068.718"</f>
        <v>51068.718</v>
      </c>
      <c r="F325" t="str">
        <f>""</f>
        <v/>
      </c>
      <c r="G325" t="str">
        <f>"0.002"</f>
        <v>0.002</v>
      </c>
      <c r="H325" t="str">
        <f>"1.038"</f>
        <v>1.038</v>
      </c>
      <c r="I325" t="str">
        <f>"  74             :    13  3d6.(3H).4s.4p.(3P*)  3H*  "</f>
        <v xml:space="preserve">  74             :    13  3d6.(3H).4s.4p.(3P*)  3H*  </v>
      </c>
      <c r="J325" t="str">
        <f>""</f>
        <v/>
      </c>
    </row>
    <row r="326" spans="1:10">
      <c r="A326" s="1" t="str">
        <f>"3d6.(3G).4s.4p.(3P*)"</f>
        <v>3d6.(3G).4s.4p.(3P*)</v>
      </c>
      <c r="B326" t="str">
        <f>"x 3H*"</f>
        <v>x 3H*</v>
      </c>
      <c r="C326" t="str">
        <f>"4"</f>
        <v>4</v>
      </c>
      <c r="D326" t="str">
        <f>""</f>
        <v/>
      </c>
      <c r="E326" t="str">
        <f>"51409.124"</f>
        <v>51409.124</v>
      </c>
      <c r="F326" t="str">
        <f>""</f>
        <v/>
      </c>
      <c r="G326" t="str">
        <f>"0.002"</f>
        <v>0.002</v>
      </c>
      <c r="H326" t="str">
        <f>"0.953"</f>
        <v>0.953</v>
      </c>
      <c r="I326" t="str">
        <f>"  67             :    15  3d6.(3F2).4s.4p.(3P*) 1G*  "</f>
        <v xml:space="preserve">  67             :    15  3d6.(3F2).4s.4p.(3P*) 1G*  </v>
      </c>
      <c r="J326" t="str">
        <f>""</f>
        <v/>
      </c>
    </row>
    <row r="327" spans="1:10">
      <c r="A327" s="1" t="str">
        <f>"3d6.(5D).4s (6D).5p"</f>
        <v>3d6.(5D).4s (6D).5p</v>
      </c>
      <c r="B327" t="str">
        <f>"t 5D*"</f>
        <v>t 5D*</v>
      </c>
      <c r="C327" t="str">
        <f>"4"</f>
        <v>4</v>
      </c>
      <c r="D327" t="str">
        <f>""</f>
        <v/>
      </c>
      <c r="E327" t="str">
        <f>"51076.628"</f>
        <v>51076.628</v>
      </c>
      <c r="F327" t="str">
        <f>""</f>
        <v/>
      </c>
      <c r="G327" t="str">
        <f t="shared" ref="G327:G337" si="35">"0.001"</f>
        <v>0.001</v>
      </c>
      <c r="H327" t="str">
        <f>"1.486"</f>
        <v>1.486</v>
      </c>
      <c r="I327" t="str">
        <f t="shared" ref="I327:I337" si="36">"                                                     "</f>
        <v xml:space="preserve">                                                     </v>
      </c>
      <c r="J327" t="str">
        <f>""</f>
        <v/>
      </c>
    </row>
    <row r="328" spans="1:10">
      <c r="A328" s="1" t="str">
        <f>"3d6.(5D).4s (6D).5p"</f>
        <v>3d6.(5D).4s (6D).5p</v>
      </c>
      <c r="B328" t="str">
        <f>"t 5D*"</f>
        <v>t 5D*</v>
      </c>
      <c r="C328" t="str">
        <f>"3"</f>
        <v>3</v>
      </c>
      <c r="D328" t="str">
        <f>""</f>
        <v/>
      </c>
      <c r="E328" t="str">
        <f>"51361.391"</f>
        <v>51361.391</v>
      </c>
      <c r="F328" t="str">
        <f>""</f>
        <v/>
      </c>
      <c r="G328" t="str">
        <f t="shared" si="35"/>
        <v>0.001</v>
      </c>
      <c r="H328" t="str">
        <f>""</f>
        <v/>
      </c>
      <c r="I328" t="str">
        <f t="shared" si="36"/>
        <v xml:space="preserve">                                                     </v>
      </c>
      <c r="J328" t="str">
        <f>""</f>
        <v/>
      </c>
    </row>
    <row r="329" spans="1:10">
      <c r="A329" s="1" t="str">
        <f>"3d6.(5D).4s (6D).5p"</f>
        <v>3d6.(5D).4s (6D).5p</v>
      </c>
      <c r="B329" t="str">
        <f>"t 5D*"</f>
        <v>t 5D*</v>
      </c>
      <c r="C329" t="str">
        <f>"2"</f>
        <v>2</v>
      </c>
      <c r="D329" t="str">
        <f>""</f>
        <v/>
      </c>
      <c r="E329" t="str">
        <f>"51630.001"</f>
        <v>51630.001</v>
      </c>
      <c r="F329" t="str">
        <f>""</f>
        <v/>
      </c>
      <c r="G329" t="str">
        <f t="shared" si="35"/>
        <v>0.001</v>
      </c>
      <c r="H329" t="str">
        <f>""</f>
        <v/>
      </c>
      <c r="I329" t="str">
        <f t="shared" si="36"/>
        <v xml:space="preserve">                                                     </v>
      </c>
      <c r="J329" t="str">
        <f>""</f>
        <v/>
      </c>
    </row>
    <row r="330" spans="1:10">
      <c r="A330" s="1" t="str">
        <f>"3d6.(5D).4s (6D).5p"</f>
        <v>3d6.(5D).4s (6D).5p</v>
      </c>
      <c r="B330" t="str">
        <f>"t 5D*"</f>
        <v>t 5D*</v>
      </c>
      <c r="C330" t="str">
        <f>"1"</f>
        <v>1</v>
      </c>
      <c r="D330" t="str">
        <f>""</f>
        <v/>
      </c>
      <c r="E330" t="str">
        <f>"51827.854"</f>
        <v>51827.854</v>
      </c>
      <c r="F330" t="str">
        <f>""</f>
        <v/>
      </c>
      <c r="G330" t="str">
        <f t="shared" si="35"/>
        <v>0.001</v>
      </c>
      <c r="H330" t="str">
        <f>""</f>
        <v/>
      </c>
      <c r="I330" t="str">
        <f t="shared" si="36"/>
        <v xml:space="preserve">                                                     </v>
      </c>
      <c r="J330" t="str">
        <f>""</f>
        <v/>
      </c>
    </row>
    <row r="331" spans="1:10">
      <c r="A331" s="1" t="str">
        <f>"3d6.(5D).4s (6D).5p"</f>
        <v>3d6.(5D).4s (6D).5p</v>
      </c>
      <c r="B331" t="str">
        <f>"t 5D*"</f>
        <v>t 5D*</v>
      </c>
      <c r="C331" t="str">
        <f>"0"</f>
        <v>0</v>
      </c>
      <c r="D331" t="str">
        <f>""</f>
        <v/>
      </c>
      <c r="E331" t="str">
        <f>"51941.540"</f>
        <v>51941.540</v>
      </c>
      <c r="F331" t="str">
        <f>""</f>
        <v/>
      </c>
      <c r="G331" t="str">
        <f t="shared" si="35"/>
        <v>0.001</v>
      </c>
      <c r="H331" t="str">
        <f>""</f>
        <v/>
      </c>
      <c r="I331" t="str">
        <f t="shared" si="36"/>
        <v xml:space="preserve">                                                     </v>
      </c>
      <c r="J331" t="str">
        <f>""</f>
        <v/>
      </c>
    </row>
    <row r="332" spans="1:10">
      <c r="A332" s="1" t="str">
        <f t="shared" ref="A332:A337" si="37">"3d6.(5D).4s (6D).4d"</f>
        <v>3d6.(5D).4s (6D).4d</v>
      </c>
      <c r="B332" t="str">
        <f>"f 5F"</f>
        <v>f 5F</v>
      </c>
      <c r="C332" t="str">
        <f>"5"</f>
        <v>5</v>
      </c>
      <c r="D332" t="str">
        <f>""</f>
        <v/>
      </c>
      <c r="E332" t="str">
        <f>"51103.191"</f>
        <v>51103.191</v>
      </c>
      <c r="F332" t="str">
        <f>""</f>
        <v/>
      </c>
      <c r="G332" t="str">
        <f t="shared" si="35"/>
        <v>0.001</v>
      </c>
      <c r="H332" t="str">
        <f>"1.384"</f>
        <v>1.384</v>
      </c>
      <c r="I332" t="str">
        <f t="shared" si="36"/>
        <v xml:space="preserve">                                                     </v>
      </c>
      <c r="J332" t="str">
        <f>""</f>
        <v/>
      </c>
    </row>
    <row r="333" spans="1:10">
      <c r="A333" s="1" t="str">
        <f t="shared" si="37"/>
        <v>3d6.(5D).4s (6D).4d</v>
      </c>
      <c r="B333" t="str">
        <f>"f 5F"</f>
        <v>f 5F</v>
      </c>
      <c r="C333" t="str">
        <f>"4"</f>
        <v>4</v>
      </c>
      <c r="D333" t="str">
        <f>""</f>
        <v/>
      </c>
      <c r="E333" t="str">
        <f>"51461.670"</f>
        <v>51461.670</v>
      </c>
      <c r="F333" t="str">
        <f>""</f>
        <v/>
      </c>
      <c r="G333" t="str">
        <f t="shared" si="35"/>
        <v>0.001</v>
      </c>
      <c r="H333" t="str">
        <f>"1.355?"</f>
        <v>1.355?</v>
      </c>
      <c r="I333" t="str">
        <f t="shared" si="36"/>
        <v xml:space="preserve">                                                     </v>
      </c>
      <c r="J333" t="str">
        <f>""</f>
        <v/>
      </c>
    </row>
    <row r="334" spans="1:10">
      <c r="A334" s="1" t="str">
        <f t="shared" si="37"/>
        <v>3d6.(5D).4s (6D).4d</v>
      </c>
      <c r="B334" t="str">
        <f>"f 5F"</f>
        <v>f 5F</v>
      </c>
      <c r="C334" t="str">
        <f>"3"</f>
        <v>3</v>
      </c>
      <c r="D334" t="str">
        <f>""</f>
        <v/>
      </c>
      <c r="E334" t="str">
        <f>"51604.103"</f>
        <v>51604.103</v>
      </c>
      <c r="F334" t="str">
        <f>""</f>
        <v/>
      </c>
      <c r="G334" t="str">
        <f t="shared" si="35"/>
        <v>0.001</v>
      </c>
      <c r="H334" t="str">
        <f>""</f>
        <v/>
      </c>
      <c r="I334" t="str">
        <f t="shared" si="36"/>
        <v xml:space="preserve">                                                     </v>
      </c>
      <c r="J334" t="str">
        <f>""</f>
        <v/>
      </c>
    </row>
    <row r="335" spans="1:10">
      <c r="A335" s="1" t="str">
        <f t="shared" si="37"/>
        <v>3d6.(5D).4s (6D).4d</v>
      </c>
      <c r="B335" t="str">
        <f>"f 5F"</f>
        <v>f 5F</v>
      </c>
      <c r="C335" t="str">
        <f>"2"</f>
        <v>2</v>
      </c>
      <c r="D335" t="str">
        <f>""</f>
        <v/>
      </c>
      <c r="E335" t="str">
        <f>"51705.014"</f>
        <v>51705.014</v>
      </c>
      <c r="F335" t="str">
        <f>""</f>
        <v/>
      </c>
      <c r="G335" t="str">
        <f t="shared" si="35"/>
        <v>0.001</v>
      </c>
      <c r="H335" t="str">
        <f>"0.967"</f>
        <v>0.967</v>
      </c>
      <c r="I335" t="str">
        <f t="shared" si="36"/>
        <v xml:space="preserve">                                                     </v>
      </c>
      <c r="J335" t="str">
        <f>""</f>
        <v/>
      </c>
    </row>
    <row r="336" spans="1:10">
      <c r="A336" s="1" t="str">
        <f t="shared" si="37"/>
        <v>3d6.(5D).4s (6D).4d</v>
      </c>
      <c r="B336" t="str">
        <f>"f 5F"</f>
        <v>f 5F</v>
      </c>
      <c r="C336" t="str">
        <f>"1"</f>
        <v>1</v>
      </c>
      <c r="D336" t="str">
        <f>""</f>
        <v/>
      </c>
      <c r="E336" t="str">
        <f>"51754.497"</f>
        <v>51754.497</v>
      </c>
      <c r="F336" t="str">
        <f>""</f>
        <v/>
      </c>
      <c r="G336" t="str">
        <f t="shared" si="35"/>
        <v>0.001</v>
      </c>
      <c r="H336" t="str">
        <f>""</f>
        <v/>
      </c>
      <c r="I336" t="str">
        <f t="shared" si="36"/>
        <v xml:space="preserve">                                                     </v>
      </c>
      <c r="J336" t="str">
        <f>""</f>
        <v/>
      </c>
    </row>
    <row r="337" spans="1:10">
      <c r="A337" s="1" t="str">
        <f t="shared" si="37"/>
        <v>3d6.(5D).4s (6D).4d</v>
      </c>
      <c r="B337" t="str">
        <f>"e 5S"</f>
        <v>e 5S</v>
      </c>
      <c r="C337" t="str">
        <f>"2"</f>
        <v>2</v>
      </c>
      <c r="D337" t="str">
        <f>""</f>
        <v/>
      </c>
      <c r="E337" t="str">
        <f>"51148.910"</f>
        <v>51148.910</v>
      </c>
      <c r="F337" t="str">
        <f>""</f>
        <v/>
      </c>
      <c r="G337" t="str">
        <f t="shared" si="35"/>
        <v>0.001</v>
      </c>
      <c r="H337" t="str">
        <f>"1.952"</f>
        <v>1.952</v>
      </c>
      <c r="I337" t="str">
        <f t="shared" si="36"/>
        <v xml:space="preserve">                                                     </v>
      </c>
      <c r="J337" t="str">
        <f>""</f>
        <v/>
      </c>
    </row>
    <row r="338" spans="1:10">
      <c r="A338" s="1" t="str">
        <f>"3d7.(2D2).4p"</f>
        <v>3d7.(2D2).4p</v>
      </c>
      <c r="B338" t="str">
        <f>"v 3F*"</f>
        <v>v 3F*</v>
      </c>
      <c r="C338" t="str">
        <f>"2"</f>
        <v>2</v>
      </c>
      <c r="D338" t="str">
        <f>""</f>
        <v/>
      </c>
      <c r="E338" t="str">
        <f>"51201.289"</f>
        <v>51201.289</v>
      </c>
      <c r="F338" t="str">
        <f>""</f>
        <v/>
      </c>
      <c r="G338" t="str">
        <f>"0.002"</f>
        <v>0.002</v>
      </c>
      <c r="H338" t="str">
        <f>"0.803"</f>
        <v>0.803</v>
      </c>
      <c r="I338" t="str">
        <f>"  31             :    23  3d6.(3G).4s.4p.(3P*)  3F*  "</f>
        <v xml:space="preserve">  31             :    23  3d6.(3G).4s.4p.(3P*)  3F*  </v>
      </c>
      <c r="J338" t="str">
        <f>""</f>
        <v/>
      </c>
    </row>
    <row r="339" spans="1:10">
      <c r="A339" s="1" t="str">
        <f>"3d7.(2D2).4p"</f>
        <v>3d7.(2D2).4p</v>
      </c>
      <c r="B339" t="str">
        <f>"v 3F*"</f>
        <v>v 3F*</v>
      </c>
      <c r="C339" t="str">
        <f>"4"</f>
        <v>4</v>
      </c>
      <c r="D339" t="str">
        <f>""</f>
        <v/>
      </c>
      <c r="E339" t="str">
        <f>"51304.604"</f>
        <v>51304.604</v>
      </c>
      <c r="F339" t="str">
        <f>""</f>
        <v/>
      </c>
      <c r="G339" t="str">
        <f t="shared" ref="G339:G349" si="38">"0.001"</f>
        <v>0.001</v>
      </c>
      <c r="H339" t="str">
        <f>"1.122"</f>
        <v>1.122</v>
      </c>
      <c r="I339" t="str">
        <f>"  34             :    30  3d7.(2D2).4p          3F*  "</f>
        <v xml:space="preserve">  34             :    30  3d7.(2D2).4p          3F*  </v>
      </c>
      <c r="J339" t="str">
        <f>""</f>
        <v/>
      </c>
    </row>
    <row r="340" spans="1:10">
      <c r="A340" s="1" t="str">
        <f>"3d7.(2D2).4p"</f>
        <v>3d7.(2D2).4p</v>
      </c>
      <c r="B340" t="str">
        <f>"v 3F*"</f>
        <v>v 3F*</v>
      </c>
      <c r="C340" t="str">
        <f>"3"</f>
        <v>3</v>
      </c>
      <c r="D340" t="str">
        <f>""</f>
        <v/>
      </c>
      <c r="E340" t="str">
        <f>"51365.311"</f>
        <v>51365.311</v>
      </c>
      <c r="F340" t="str">
        <f>""</f>
        <v/>
      </c>
      <c r="G340" t="str">
        <f t="shared" si="38"/>
        <v>0.001</v>
      </c>
      <c r="H340" t="str">
        <f>"1.096"</f>
        <v>1.096</v>
      </c>
      <c r="I340" t="str">
        <f>"  36             :    26  3d6.(3G).4s.4p.(3P*)  3F*  "</f>
        <v xml:space="preserve">  36             :    26  3d6.(3G).4s.4p.(3P*)  3F*  </v>
      </c>
      <c r="J340" t="str">
        <f>""</f>
        <v/>
      </c>
    </row>
    <row r="341" spans="1:10">
      <c r="A341" s="1" t="str">
        <f t="shared" ref="A341:A348" si="39">"3d6.(5D).4s (4D).5s"</f>
        <v>3d6.(5D).4s (4D).5s</v>
      </c>
      <c r="B341" t="str">
        <f>"e 3D"</f>
        <v>e 3D</v>
      </c>
      <c r="C341" t="str">
        <f>"3"</f>
        <v>3</v>
      </c>
      <c r="D341" t="str">
        <f>""</f>
        <v/>
      </c>
      <c r="E341" t="str">
        <f>"51294.220"</f>
        <v>51294.220</v>
      </c>
      <c r="F341" t="str">
        <f>""</f>
        <v/>
      </c>
      <c r="G341" t="str">
        <f t="shared" si="38"/>
        <v>0.001</v>
      </c>
      <c r="H341" t="str">
        <f>"1.345"</f>
        <v>1.345</v>
      </c>
      <c r="I341" t="str">
        <f t="shared" ref="I341:I348" si="40">"                                                     "</f>
        <v xml:space="preserve">                                                     </v>
      </c>
      <c r="J341" t="str">
        <f>""</f>
        <v/>
      </c>
    </row>
    <row r="342" spans="1:10">
      <c r="A342" s="1" t="str">
        <f t="shared" si="39"/>
        <v>3d6.(5D).4s (4D).5s</v>
      </c>
      <c r="B342" t="str">
        <f>"e 3D"</f>
        <v>e 3D</v>
      </c>
      <c r="C342" t="str">
        <f>"2"</f>
        <v>2</v>
      </c>
      <c r="D342" t="str">
        <f>""</f>
        <v/>
      </c>
      <c r="E342" t="str">
        <f>"51739.920"</f>
        <v>51739.920</v>
      </c>
      <c r="F342" t="str">
        <f>""</f>
        <v/>
      </c>
      <c r="G342" t="str">
        <f t="shared" si="38"/>
        <v>0.001</v>
      </c>
      <c r="H342" t="str">
        <f>"1.125"</f>
        <v>1.125</v>
      </c>
      <c r="I342" t="str">
        <f t="shared" si="40"/>
        <v xml:space="preserve">                                                     </v>
      </c>
      <c r="J342" t="str">
        <f>""</f>
        <v/>
      </c>
    </row>
    <row r="343" spans="1:10">
      <c r="A343" s="1" t="str">
        <f t="shared" si="39"/>
        <v>3d6.(5D).4s (4D).5s</v>
      </c>
      <c r="B343" t="str">
        <f>"e 3D"</f>
        <v>e 3D</v>
      </c>
      <c r="C343" t="str">
        <f>"1"</f>
        <v>1</v>
      </c>
      <c r="D343" t="str">
        <f>""</f>
        <v/>
      </c>
      <c r="E343" t="str">
        <f>"52039.892"</f>
        <v>52039.892</v>
      </c>
      <c r="F343" t="str">
        <f>""</f>
        <v/>
      </c>
      <c r="G343" t="str">
        <f t="shared" si="38"/>
        <v>0.001</v>
      </c>
      <c r="H343" t="str">
        <f>"0.801"</f>
        <v>0.801</v>
      </c>
      <c r="I343" t="str">
        <f t="shared" si="40"/>
        <v xml:space="preserve">                                                     </v>
      </c>
      <c r="J343" t="str">
        <f>""</f>
        <v/>
      </c>
    </row>
    <row r="344" spans="1:10">
      <c r="A344" s="1" t="str">
        <f t="shared" si="39"/>
        <v>3d6.(5D).4s (4D).5s</v>
      </c>
      <c r="B344" t="str">
        <f>"g 5D"</f>
        <v>g 5D</v>
      </c>
      <c r="C344" t="str">
        <f>"4"</f>
        <v>4</v>
      </c>
      <c r="D344" t="str">
        <f>""</f>
        <v/>
      </c>
      <c r="E344" t="str">
        <f>"51350.492"</f>
        <v>51350.492</v>
      </c>
      <c r="F344" t="str">
        <f>""</f>
        <v/>
      </c>
      <c r="G344" t="str">
        <f t="shared" si="38"/>
        <v>0.001</v>
      </c>
      <c r="H344" t="str">
        <f>"1.487"</f>
        <v>1.487</v>
      </c>
      <c r="I344" t="str">
        <f t="shared" si="40"/>
        <v xml:space="preserve">                                                     </v>
      </c>
      <c r="J344" t="str">
        <f>""</f>
        <v/>
      </c>
    </row>
    <row r="345" spans="1:10">
      <c r="A345" s="1" t="str">
        <f t="shared" si="39"/>
        <v>3d6.(5D).4s (4D).5s</v>
      </c>
      <c r="B345" t="str">
        <f>"g 5D"</f>
        <v>g 5D</v>
      </c>
      <c r="C345" t="str">
        <f>"3"</f>
        <v>3</v>
      </c>
      <c r="D345" t="str">
        <f>""</f>
        <v/>
      </c>
      <c r="E345" t="str">
        <f>"51770.557"</f>
        <v>51770.557</v>
      </c>
      <c r="F345" t="str">
        <f>""</f>
        <v/>
      </c>
      <c r="G345" t="str">
        <f t="shared" si="38"/>
        <v>0.001</v>
      </c>
      <c r="H345" t="str">
        <f>"1.492"</f>
        <v>1.492</v>
      </c>
      <c r="I345" t="str">
        <f t="shared" si="40"/>
        <v xml:space="preserve">                                                     </v>
      </c>
      <c r="J345" t="str">
        <f>""</f>
        <v/>
      </c>
    </row>
    <row r="346" spans="1:10">
      <c r="A346" s="1" t="str">
        <f t="shared" si="39"/>
        <v>3d6.(5D).4s (4D).5s</v>
      </c>
      <c r="B346" t="str">
        <f>"g 5D"</f>
        <v>g 5D</v>
      </c>
      <c r="C346" t="str">
        <f>"2"</f>
        <v>2</v>
      </c>
      <c r="D346" t="str">
        <f>""</f>
        <v/>
      </c>
      <c r="E346" t="str">
        <f>"52049.823"</f>
        <v>52049.823</v>
      </c>
      <c r="F346" t="str">
        <f>""</f>
        <v/>
      </c>
      <c r="G346" t="str">
        <f t="shared" si="38"/>
        <v>0.001</v>
      </c>
      <c r="H346" t="str">
        <f>"1.57?"</f>
        <v>1.57?</v>
      </c>
      <c r="I346" t="str">
        <f t="shared" si="40"/>
        <v xml:space="preserve">                                                     </v>
      </c>
      <c r="J346" t="str">
        <f>""</f>
        <v/>
      </c>
    </row>
    <row r="347" spans="1:10">
      <c r="A347" s="1" t="str">
        <f t="shared" si="39"/>
        <v>3d6.(5D).4s (4D).5s</v>
      </c>
      <c r="B347" t="str">
        <f>"g 5D"</f>
        <v>g 5D</v>
      </c>
      <c r="C347" t="str">
        <f>"1"</f>
        <v>1</v>
      </c>
      <c r="D347" t="str">
        <f>""</f>
        <v/>
      </c>
      <c r="E347" t="str">
        <f>"52214.345"</f>
        <v>52214.345</v>
      </c>
      <c r="F347" t="str">
        <f>""</f>
        <v/>
      </c>
      <c r="G347" t="str">
        <f t="shared" si="38"/>
        <v>0.001</v>
      </c>
      <c r="H347" t="str">
        <f>""</f>
        <v/>
      </c>
      <c r="I347" t="str">
        <f t="shared" si="40"/>
        <v xml:space="preserve">                                                     </v>
      </c>
      <c r="J347" t="str">
        <f>""</f>
        <v/>
      </c>
    </row>
    <row r="348" spans="1:10">
      <c r="A348" s="1" t="str">
        <f t="shared" si="39"/>
        <v>3d6.(5D).4s (4D).5s</v>
      </c>
      <c r="B348" t="str">
        <f>"g 5D"</f>
        <v>g 5D</v>
      </c>
      <c r="C348" t="str">
        <f>"0"</f>
        <v>0</v>
      </c>
      <c r="D348" t="str">
        <f>""</f>
        <v/>
      </c>
      <c r="E348" t="str">
        <f>"52257.346"</f>
        <v>52257.346</v>
      </c>
      <c r="F348" t="str">
        <f>""</f>
        <v/>
      </c>
      <c r="G348" t="str">
        <f t="shared" si="38"/>
        <v>0.001</v>
      </c>
      <c r="H348" t="str">
        <f>""</f>
        <v/>
      </c>
      <c r="I348" t="str">
        <f t="shared" si="40"/>
        <v xml:space="preserve">                                                     </v>
      </c>
      <c r="J348" t="str">
        <f>""</f>
        <v/>
      </c>
    </row>
    <row r="349" spans="1:10">
      <c r="A349" s="1" t="str">
        <f>"3d7.(2H).4p"</f>
        <v>3d7.(2H).4p</v>
      </c>
      <c r="B349" t="str">
        <f>"u 3G*"</f>
        <v>u 3G*</v>
      </c>
      <c r="C349" t="str">
        <f>"5"</f>
        <v>5</v>
      </c>
      <c r="D349" t="str">
        <f>""</f>
        <v/>
      </c>
      <c r="E349" t="str">
        <f>"51373.910"</f>
        <v>51373.910</v>
      </c>
      <c r="F349" t="str">
        <f>""</f>
        <v/>
      </c>
      <c r="G349" t="str">
        <f t="shared" si="38"/>
        <v>0.001</v>
      </c>
      <c r="H349" t="str">
        <f>"1.140"</f>
        <v>1.140</v>
      </c>
      <c r="I349" t="str">
        <f>"  30             :    17  3d6.(3G).4s.4p.(3P*)  3G*  "</f>
        <v xml:space="preserve">  30             :    17  3d6.(3G).4s.4p.(3P*)  3G*  </v>
      </c>
      <c r="J349" t="str">
        <f>""</f>
        <v/>
      </c>
    </row>
    <row r="350" spans="1:10">
      <c r="A350" s="1" t="str">
        <f>"3d7.(2H).4p"</f>
        <v>3d7.(2H).4p</v>
      </c>
      <c r="B350" t="str">
        <f>"u 3G*"</f>
        <v>u 3G*</v>
      </c>
      <c r="C350" t="str">
        <f>"4"</f>
        <v>4</v>
      </c>
      <c r="D350" t="str">
        <f>""</f>
        <v/>
      </c>
      <c r="E350" t="str">
        <f>"51668.186"</f>
        <v>51668.186</v>
      </c>
      <c r="F350" t="str">
        <f>""</f>
        <v/>
      </c>
      <c r="G350" t="str">
        <f>"0.002"</f>
        <v>0.002</v>
      </c>
      <c r="H350" t="str">
        <f>"1.067"</f>
        <v>1.067</v>
      </c>
      <c r="I350" t="str">
        <f>"  35             :    32  3d6.(3G).4s.4p.(3P*)  3G*  "</f>
        <v xml:space="preserve">  35             :    32  3d6.(3G).4s.4p.(3P*)  3G*  </v>
      </c>
      <c r="J350" t="str">
        <f>""</f>
        <v/>
      </c>
    </row>
    <row r="351" spans="1:10">
      <c r="A351" s="1" t="str">
        <f>"3d7.(2H).4p"</f>
        <v>3d7.(2H).4p</v>
      </c>
      <c r="B351" t="str">
        <f>"u 3G*"</f>
        <v>u 3G*</v>
      </c>
      <c r="C351" t="str">
        <f>"3"</f>
        <v>3</v>
      </c>
      <c r="D351" t="str">
        <f>""</f>
        <v/>
      </c>
      <c r="E351" t="str">
        <f>"51825.773"</f>
        <v>51825.773</v>
      </c>
      <c r="F351" t="str">
        <f>""</f>
        <v/>
      </c>
      <c r="G351" t="str">
        <f>"0.001"</f>
        <v>0.001</v>
      </c>
      <c r="H351" t="str">
        <f>"0.801"</f>
        <v>0.801</v>
      </c>
      <c r="I351" t="str">
        <f>"  35             :    32  3d6.(3G).4s.4p.(3P*)  3G*  "</f>
        <v xml:space="preserve">  35             :    32  3d6.(3G).4s.4p.(3P*)  3G*  </v>
      </c>
      <c r="J351" t="str">
        <f>""</f>
        <v/>
      </c>
    </row>
    <row r="352" spans="1:10">
      <c r="A352" s="1" t="str">
        <f>"3d6.(5D).4s (6D).4d"</f>
        <v>3d6.(5D).4s (6D).4d</v>
      </c>
      <c r="B352" t="str">
        <f>"e 7S"</f>
        <v>e 7S</v>
      </c>
      <c r="C352" t="str">
        <f>"3"</f>
        <v>3</v>
      </c>
      <c r="D352" t="str">
        <f>""</f>
        <v/>
      </c>
      <c r="E352" t="str">
        <f>"51570.097"</f>
        <v>51570.097</v>
      </c>
      <c r="F352" t="str">
        <f>""</f>
        <v/>
      </c>
      <c r="G352" t="str">
        <f>"0.001"</f>
        <v>0.001</v>
      </c>
      <c r="H352" t="str">
        <f>"1.92?"</f>
        <v>1.92?</v>
      </c>
      <c r="I352" t="str">
        <f>"                                                     "</f>
        <v xml:space="preserve">                                                     </v>
      </c>
      <c r="J352" t="str">
        <f>""</f>
        <v/>
      </c>
    </row>
    <row r="353" spans="1:10">
      <c r="A353" s="1" t="str">
        <f>"3d6.(3H).4s.4p.(3P*)"</f>
        <v>3d6.(3H).4s.4p.(3P*)</v>
      </c>
      <c r="B353" t="str">
        <f>"1H*"</f>
        <v>1H*</v>
      </c>
      <c r="C353" t="str">
        <f>"5"</f>
        <v>5</v>
      </c>
      <c r="D353" t="str">
        <f>""</f>
        <v/>
      </c>
      <c r="E353" t="str">
        <f>"51630.178"</f>
        <v>51630.178</v>
      </c>
      <c r="F353" t="str">
        <f>""</f>
        <v/>
      </c>
      <c r="G353" t="str">
        <f>"0.002"</f>
        <v>0.002</v>
      </c>
      <c r="H353" t="str">
        <f>"1.061"</f>
        <v>1.061</v>
      </c>
      <c r="I353" t="str">
        <f>"  39             :    10  3d7.(2G).4p           1H*  "</f>
        <v xml:space="preserve">  39             :    10  3d7.(2G).4p           1H*  </v>
      </c>
      <c r="J353" t="str">
        <f>""</f>
        <v/>
      </c>
    </row>
    <row r="354" spans="1:10">
      <c r="A354" s="1" t="str">
        <f>"3d6.(5D).4s (6D).5p"</f>
        <v>3d6.(5D).4s (6D).5p</v>
      </c>
      <c r="B354" t="str">
        <f>"u 5P*"</f>
        <v>u 5P*</v>
      </c>
      <c r="C354" t="str">
        <f>"3"</f>
        <v>3</v>
      </c>
      <c r="D354" t="str">
        <f>""</f>
        <v/>
      </c>
      <c r="E354" t="str">
        <f>"51692.010"</f>
        <v>51692.010</v>
      </c>
      <c r="F354" t="str">
        <f>""</f>
        <v/>
      </c>
      <c r="G354" t="str">
        <f>"0.001"</f>
        <v>0.001</v>
      </c>
      <c r="H354" t="str">
        <f>""</f>
        <v/>
      </c>
      <c r="I354" t="str">
        <f>"                                                     "</f>
        <v xml:space="preserve">                                                     </v>
      </c>
      <c r="J354" t="str">
        <f>""</f>
        <v/>
      </c>
    </row>
    <row r="355" spans="1:10">
      <c r="A355" s="1" t="str">
        <f>"3d6.(5D).4s (6D).5p"</f>
        <v>3d6.(5D).4s (6D).5p</v>
      </c>
      <c r="B355" t="str">
        <f>"u 5P*"</f>
        <v>u 5P*</v>
      </c>
      <c r="C355" t="str">
        <f>"2"</f>
        <v>2</v>
      </c>
      <c r="D355" t="str">
        <f>""</f>
        <v/>
      </c>
      <c r="E355" t="str">
        <f>"51944.784"</f>
        <v>51944.784</v>
      </c>
      <c r="F355" t="str">
        <f>""</f>
        <v/>
      </c>
      <c r="G355" t="str">
        <f>"0.001"</f>
        <v>0.001</v>
      </c>
      <c r="H355" t="str">
        <f>""</f>
        <v/>
      </c>
      <c r="I355" t="str">
        <f>"                                                     "</f>
        <v xml:space="preserve">                                                     </v>
      </c>
      <c r="J355" t="str">
        <f>""</f>
        <v/>
      </c>
    </row>
    <row r="356" spans="1:10">
      <c r="A356" s="1" t="str">
        <f>"3d6.(5D).4s (6D).5p"</f>
        <v>3d6.(5D).4s (6D).5p</v>
      </c>
      <c r="B356" t="str">
        <f>"u 5P*"</f>
        <v>u 5P*</v>
      </c>
      <c r="C356" t="str">
        <f>"1"</f>
        <v>1</v>
      </c>
      <c r="D356" t="str">
        <f>""</f>
        <v/>
      </c>
      <c r="E356" t="str">
        <f>"52110.601"</f>
        <v>52110.601</v>
      </c>
      <c r="F356" t="str">
        <f>""</f>
        <v/>
      </c>
      <c r="G356" t="str">
        <f>"0.002"</f>
        <v>0.002</v>
      </c>
      <c r="H356" t="str">
        <f>"2.633"</f>
        <v>2.633</v>
      </c>
      <c r="I356" t="str">
        <f>"                                                     "</f>
        <v xml:space="preserve">                                                     </v>
      </c>
      <c r="J356" t="str">
        <f>""</f>
        <v/>
      </c>
    </row>
    <row r="357" spans="1:10">
      <c r="A357" s="1" t="str">
        <f>"3d7.(2P).4p"</f>
        <v>3d7.(2P).4p</v>
      </c>
      <c r="B357" t="str">
        <f>"y 1D*"</f>
        <v>y 1D*</v>
      </c>
      <c r="C357" t="str">
        <f>"2"</f>
        <v>2</v>
      </c>
      <c r="D357" t="str">
        <f>""</f>
        <v/>
      </c>
      <c r="E357" t="str">
        <f>"51708.307"</f>
        <v>51708.307</v>
      </c>
      <c r="F357" t="str">
        <f>""</f>
        <v/>
      </c>
      <c r="G357" t="str">
        <f t="shared" ref="G357:G362" si="41">"0.001"</f>
        <v>0.001</v>
      </c>
      <c r="H357" t="str">
        <f>"1.025"</f>
        <v>1.025</v>
      </c>
      <c r="I357" t="str">
        <f>"  49             :    18  3d7.(2D2).4p          1D*  "</f>
        <v xml:space="preserve">  49             :    18  3d7.(2D2).4p          1D*  </v>
      </c>
      <c r="J357" t="str">
        <f>""</f>
        <v/>
      </c>
    </row>
    <row r="358" spans="1:10">
      <c r="A358" s="1" t="str">
        <f>"3d6.(3H).4s.4p.(3P*)"</f>
        <v>3d6.(3H).4s.4p.(3P*)</v>
      </c>
      <c r="B358" t="str">
        <f>"x 1D*"</f>
        <v>x 1D*</v>
      </c>
      <c r="C358" t="str">
        <f>"2"</f>
        <v>2</v>
      </c>
      <c r="D358" t="str">
        <f>""</f>
        <v/>
      </c>
      <c r="E358" t="str">
        <f>"51762.076"</f>
        <v>51762.076</v>
      </c>
      <c r="F358" t="str">
        <f>""</f>
        <v/>
      </c>
      <c r="G358" t="str">
        <f t="shared" si="41"/>
        <v>0.001</v>
      </c>
      <c r="H358" t="str">
        <f>"0.883"</f>
        <v>0.883</v>
      </c>
      <c r="I358" t="str">
        <f>"  56             :    15  3d7.(2D2).4p          1D*  "</f>
        <v xml:space="preserve">  56             :    15  3d7.(2D2).4p          1D*  </v>
      </c>
      <c r="J358" t="str">
        <f>""</f>
        <v/>
      </c>
    </row>
    <row r="359" spans="1:10">
      <c r="A359" s="1" t="str">
        <f>"3d6.(5D).4s (6D).4d"</f>
        <v>3d6.(5D).4s (6D).4d</v>
      </c>
      <c r="B359" t="str">
        <f>"e 5P"</f>
        <v>e 5P</v>
      </c>
      <c r="C359" t="str">
        <f>"3"</f>
        <v>3</v>
      </c>
      <c r="D359" t="str">
        <f>""</f>
        <v/>
      </c>
      <c r="E359" t="str">
        <f>"51837.238"</f>
        <v>51837.238</v>
      </c>
      <c r="F359" t="str">
        <f>""</f>
        <v/>
      </c>
      <c r="G359" t="str">
        <f t="shared" si="41"/>
        <v>0.001</v>
      </c>
      <c r="H359" t="str">
        <f>"1.664"</f>
        <v>1.664</v>
      </c>
      <c r="I359" t="str">
        <f>"                                                     "</f>
        <v xml:space="preserve">                                                     </v>
      </c>
      <c r="J359" t="str">
        <f>""</f>
        <v/>
      </c>
    </row>
    <row r="360" spans="1:10">
      <c r="A360" s="1" t="str">
        <f>"3d6.(5D).4s (6D).4d"</f>
        <v>3d6.(5D).4s (6D).4d</v>
      </c>
      <c r="B360" t="str">
        <f>"e 5P"</f>
        <v>e 5P</v>
      </c>
      <c r="C360" t="str">
        <f>"1"</f>
        <v>1</v>
      </c>
      <c r="D360" t="str">
        <f>""</f>
        <v/>
      </c>
      <c r="E360" t="str">
        <f>"52019.669"</f>
        <v>52019.669</v>
      </c>
      <c r="F360" t="str">
        <f>""</f>
        <v/>
      </c>
      <c r="G360" t="str">
        <f t="shared" si="41"/>
        <v>0.001</v>
      </c>
      <c r="H360" t="str">
        <f>"2.432"</f>
        <v>2.432</v>
      </c>
      <c r="I360" t="str">
        <f>"                                                     "</f>
        <v xml:space="preserve">                                                     </v>
      </c>
      <c r="J360" t="str">
        <f>""</f>
        <v/>
      </c>
    </row>
    <row r="361" spans="1:10">
      <c r="A361" s="1" t="str">
        <f>"3d6.(5D).4s (6D).4d"</f>
        <v>3d6.(5D).4s (6D).4d</v>
      </c>
      <c r="B361" t="str">
        <f>"e 5P"</f>
        <v>e 5P</v>
      </c>
      <c r="C361" t="str">
        <f>"2"</f>
        <v>2</v>
      </c>
      <c r="D361" t="str">
        <f>""</f>
        <v/>
      </c>
      <c r="E361" t="str">
        <f>"52067.469"</f>
        <v>52067.469</v>
      </c>
      <c r="F361" t="str">
        <f>""</f>
        <v/>
      </c>
      <c r="G361" t="str">
        <f t="shared" si="41"/>
        <v>0.001</v>
      </c>
      <c r="H361" t="str">
        <f>""</f>
        <v/>
      </c>
      <c r="I361" t="str">
        <f>"                                                     "</f>
        <v xml:space="preserve">                                                     </v>
      </c>
      <c r="J361" t="str">
        <f>""</f>
        <v/>
      </c>
    </row>
    <row r="362" spans="1:10">
      <c r="A362" s="1" t="str">
        <f>"3d7.(2P).4p"</f>
        <v>3d7.(2P).4p</v>
      </c>
      <c r="B362" t="str">
        <f>"u 3D*"</f>
        <v>u 3D*</v>
      </c>
      <c r="C362" t="str">
        <f>"3"</f>
        <v>3</v>
      </c>
      <c r="D362" t="str">
        <f>""</f>
        <v/>
      </c>
      <c r="E362" t="str">
        <f>"51969.101"</f>
        <v>51969.101</v>
      </c>
      <c r="F362" t="str">
        <f>""</f>
        <v/>
      </c>
      <c r="G362" t="str">
        <f t="shared" si="41"/>
        <v>0.001</v>
      </c>
      <c r="H362" t="str">
        <f>"1.306"</f>
        <v>1.306</v>
      </c>
      <c r="I362" t="str">
        <f>"  61             :    19  3d6.(3F2).4s.4p.(1P*) 3D*  "</f>
        <v xml:space="preserve">  61             :    19  3d6.(3F2).4s.4p.(1P*) 3D*  </v>
      </c>
      <c r="J362" t="str">
        <f>""</f>
        <v/>
      </c>
    </row>
    <row r="363" spans="1:10">
      <c r="A363" s="1" t="str">
        <f>"3d7.(2P).4p"</f>
        <v>3d7.(2P).4p</v>
      </c>
      <c r="B363" t="str">
        <f>"u 3D*"</f>
        <v>u 3D*</v>
      </c>
      <c r="C363" t="str">
        <f>"2"</f>
        <v>2</v>
      </c>
      <c r="D363" t="str">
        <f>""</f>
        <v/>
      </c>
      <c r="E363" t="str">
        <f>"52296.920"</f>
        <v>52296.920</v>
      </c>
      <c r="F363" t="str">
        <f>""</f>
        <v/>
      </c>
      <c r="G363" t="str">
        <f>"0.002"</f>
        <v>0.002</v>
      </c>
      <c r="H363" t="str">
        <f>"1.156"</f>
        <v>1.156</v>
      </c>
      <c r="I363" t="str">
        <f>"  53             :    21  3d6.(3F2).4s.4p.(1P*) 3D*  "</f>
        <v xml:space="preserve">  53             :    21  3d6.(3F2).4s.4p.(1P*) 3D*  </v>
      </c>
      <c r="J363" t="str">
        <f>""</f>
        <v/>
      </c>
    </row>
    <row r="364" spans="1:10">
      <c r="A364" s="1" t="str">
        <f>"3d7.(2P).4p"</f>
        <v>3d7.(2P).4p</v>
      </c>
      <c r="B364" t="str">
        <f>"u 3D*"</f>
        <v>u 3D*</v>
      </c>
      <c r="C364" t="str">
        <f>"1"</f>
        <v>1</v>
      </c>
      <c r="D364" t="str">
        <f>""</f>
        <v/>
      </c>
      <c r="E364" t="str">
        <f>"52512.457"</f>
        <v>52512.457</v>
      </c>
      <c r="F364" t="str">
        <f>""</f>
        <v/>
      </c>
      <c r="G364" t="str">
        <f>"0.002"</f>
        <v>0.002</v>
      </c>
      <c r="H364" t="str">
        <f>"0.700"</f>
        <v>0.700</v>
      </c>
      <c r="I364" t="str">
        <f>"  48             :    22  3d6.(3F2).4s.4p.(1P*) 3D*  "</f>
        <v xml:space="preserve">  48             :    22  3d6.(3F2).4s.4p.(1P*) 3D*  </v>
      </c>
      <c r="J364" t="str">
        <f>""</f>
        <v/>
      </c>
    </row>
    <row r="365" spans="1:10">
      <c r="A365" s="1" t="str">
        <f>"3d7.(2P).4p"</f>
        <v>3d7.(2P).4p</v>
      </c>
      <c r="B365" t="str">
        <f>"1P*"</f>
        <v>1P*</v>
      </c>
      <c r="C365" t="str">
        <f>"1"</f>
        <v>1</v>
      </c>
      <c r="D365" t="str">
        <f>""</f>
        <v/>
      </c>
      <c r="E365" t="str">
        <f>"52180.820"</f>
        <v>52180.820</v>
      </c>
      <c r="F365" t="str">
        <f>""</f>
        <v/>
      </c>
      <c r="G365" t="str">
        <f>"0.002"</f>
        <v>0.002</v>
      </c>
      <c r="H365" t="str">
        <f>"0.801"</f>
        <v>0.801</v>
      </c>
      <c r="I365" t="str">
        <f>"  47             :    20  3d7.(2D2).4p          3D*  "</f>
        <v xml:space="preserve">  47             :    20  3d7.(2D2).4p          3D*  </v>
      </c>
      <c r="J365" t="str">
        <f>""</f>
        <v/>
      </c>
    </row>
    <row r="366" spans="1:10">
      <c r="A366" s="1" t="str">
        <f>"3d7.(2D2).4p"</f>
        <v>3d7.(2D2).4p</v>
      </c>
      <c r="B366" t="str">
        <f>"t 3D*"</f>
        <v>t 3D*</v>
      </c>
      <c r="C366" t="str">
        <f>"3"</f>
        <v>3</v>
      </c>
      <c r="D366" t="str">
        <f>""</f>
        <v/>
      </c>
      <c r="E366" t="str">
        <f>"52213.230"</f>
        <v>52213.230</v>
      </c>
      <c r="F366" t="str">
        <f>""</f>
        <v/>
      </c>
      <c r="G366" t="str">
        <f>"0.002"</f>
        <v>0.002</v>
      </c>
      <c r="H366" t="str">
        <f>"1.317"</f>
        <v>1.317</v>
      </c>
      <c r="I366" t="str">
        <f>"  75             :    19  3d6.(3F2).4s.4p.(1P*) 3D*  "</f>
        <v xml:space="preserve">  75             :    19  3d6.(3F2).4s.4p.(1P*) 3D*  </v>
      </c>
      <c r="J366" t="str">
        <f>""</f>
        <v/>
      </c>
    </row>
    <row r="367" spans="1:10">
      <c r="A367" s="1" t="str">
        <f>"3d7.(2D2).4p"</f>
        <v>3d7.(2D2).4p</v>
      </c>
      <c r="B367" t="str">
        <f>"t 3D*"</f>
        <v>t 3D*</v>
      </c>
      <c r="C367" t="str">
        <f>"2"</f>
        <v>2</v>
      </c>
      <c r="D367" t="str">
        <f>""</f>
        <v/>
      </c>
      <c r="E367" t="str">
        <f>"52682.920"</f>
        <v>52682.920</v>
      </c>
      <c r="F367" t="str">
        <f>""</f>
        <v/>
      </c>
      <c r="G367" t="str">
        <f>"0.001"</f>
        <v>0.001</v>
      </c>
      <c r="H367" t="str">
        <f>"1.145"</f>
        <v>1.145</v>
      </c>
      <c r="I367" t="str">
        <f>"  60             :    11  3d7.(2P).4p           3D*  "</f>
        <v xml:space="preserve">  60             :    11  3d7.(2P).4p           3D*  </v>
      </c>
      <c r="J367" t="str">
        <f>""</f>
        <v/>
      </c>
    </row>
    <row r="368" spans="1:10">
      <c r="A368" s="1" t="str">
        <f>"3d7.(2D2).4p"</f>
        <v>3d7.(2D2).4p</v>
      </c>
      <c r="B368" t="str">
        <f>"t 3D*"</f>
        <v>t 3D*</v>
      </c>
      <c r="C368" t="str">
        <f>"1"</f>
        <v>1</v>
      </c>
      <c r="D368" t="str">
        <f>""</f>
        <v/>
      </c>
      <c r="E368" t="str">
        <f>"52857.804"</f>
        <v>52857.804</v>
      </c>
      <c r="F368" t="str">
        <f>""</f>
        <v/>
      </c>
      <c r="G368" t="str">
        <f>"0.002"</f>
        <v>0.002</v>
      </c>
      <c r="H368" t="str">
        <f>"1.246"</f>
        <v>1.246</v>
      </c>
      <c r="I368" t="str">
        <f>"  45             :    10  3d7.(2P).4p           3D*  "</f>
        <v xml:space="preserve">  45             :    10  3d7.(2P).4p           3D*  </v>
      </c>
      <c r="J368" t="str">
        <f>""</f>
        <v/>
      </c>
    </row>
    <row r="369" spans="1:10">
      <c r="A369" s="1" t="str">
        <f t="shared" ref="A369:A374" si="42">"3d7.(2H).4p"</f>
        <v>3d7.(2H).4p</v>
      </c>
      <c r="B369" t="str">
        <f>"w 3H*"</f>
        <v>w 3H*</v>
      </c>
      <c r="C369" t="str">
        <f>"6"</f>
        <v>6</v>
      </c>
      <c r="D369" t="str">
        <f>""</f>
        <v/>
      </c>
      <c r="E369" t="str">
        <f>"52431.447"</f>
        <v>52431.447</v>
      </c>
      <c r="F369" t="str">
        <f>""</f>
        <v/>
      </c>
      <c r="G369" t="str">
        <f>"0.002"</f>
        <v>0.002</v>
      </c>
      <c r="H369" t="str">
        <f>"1.177"</f>
        <v>1.177</v>
      </c>
      <c r="I369" t="str">
        <f>"  63             :    17  3d6.(3H).4s.4p.(1P*)  3H*  "</f>
        <v xml:space="preserve">  63             :    17  3d6.(3H).4s.4p.(1P*)  3H*  </v>
      </c>
      <c r="J369" t="str">
        <f>""</f>
        <v/>
      </c>
    </row>
    <row r="370" spans="1:10">
      <c r="A370" s="1" t="str">
        <f t="shared" si="42"/>
        <v>3d7.(2H).4p</v>
      </c>
      <c r="B370" t="str">
        <f>"w 3H*"</f>
        <v>w 3H*</v>
      </c>
      <c r="C370" t="str">
        <f>"5"</f>
        <v>5</v>
      </c>
      <c r="D370" t="str">
        <f>""</f>
        <v/>
      </c>
      <c r="E370" t="str">
        <f>"52613.090"</f>
        <v>52613.090</v>
      </c>
      <c r="F370" t="str">
        <f>""</f>
        <v/>
      </c>
      <c r="G370" t="str">
        <f>"0.002"</f>
        <v>0.002</v>
      </c>
      <c r="H370" t="str">
        <f>"1.033"</f>
        <v>1.033</v>
      </c>
      <c r="I370" t="str">
        <f>"  60             :    14  3d6.(3H).4s.4p.(1P*)  3H*  "</f>
        <v xml:space="preserve">  60             :    14  3d6.(3H).4s.4p.(1P*)  3H*  </v>
      </c>
      <c r="J370" t="str">
        <f>""</f>
        <v/>
      </c>
    </row>
    <row r="371" spans="1:10">
      <c r="A371" s="1" t="str">
        <f t="shared" si="42"/>
        <v>3d7.(2H).4p</v>
      </c>
      <c r="B371" t="str">
        <f>"w 3H*"</f>
        <v>w 3H*</v>
      </c>
      <c r="C371" t="str">
        <f>"4"</f>
        <v>4</v>
      </c>
      <c r="D371" t="str">
        <f>""</f>
        <v/>
      </c>
      <c r="E371" t="str">
        <f>"52768.743"</f>
        <v>52768.743</v>
      </c>
      <c r="F371" t="str">
        <f>""</f>
        <v/>
      </c>
      <c r="G371" t="str">
        <f>"0.003"</f>
        <v>0.003</v>
      </c>
      <c r="H371" t="str">
        <f>"0.810"</f>
        <v>0.810</v>
      </c>
      <c r="I371" t="str">
        <f>"  61             :    18  3d6.(3H).4s.4p.(1P*)  3H*  "</f>
        <v xml:space="preserve">  61             :    18  3d6.(3H).4s.4p.(1P*)  3H*  </v>
      </c>
      <c r="J371" t="str">
        <f>""</f>
        <v/>
      </c>
    </row>
    <row r="372" spans="1:10">
      <c r="A372" s="1" t="str">
        <f t="shared" si="42"/>
        <v>3d7.(2H).4p</v>
      </c>
      <c r="B372" t="str">
        <f>"y 3I*"</f>
        <v>y 3I*</v>
      </c>
      <c r="C372" t="str">
        <f>"6"</f>
        <v>6</v>
      </c>
      <c r="D372" t="str">
        <f>""</f>
        <v/>
      </c>
      <c r="E372" t="str">
        <f>"52513.560"</f>
        <v>52513.560</v>
      </c>
      <c r="F372" t="str">
        <f>""</f>
        <v/>
      </c>
      <c r="G372" t="str">
        <f>"0.002"</f>
        <v>0.002</v>
      </c>
      <c r="H372" t="str">
        <f>"1.019"</f>
        <v>1.019</v>
      </c>
      <c r="I372" t="str">
        <f>"  65             :    22  3d7.(2H).4p           1I*  "</f>
        <v xml:space="preserve">  65             :    22  3d7.(2H).4p           1I*  </v>
      </c>
      <c r="J372" t="str">
        <f>""</f>
        <v/>
      </c>
    </row>
    <row r="373" spans="1:10">
      <c r="A373" s="1" t="str">
        <f t="shared" si="42"/>
        <v>3d7.(2H).4p</v>
      </c>
      <c r="B373" t="str">
        <f>"y 3I*"</f>
        <v>y 3I*</v>
      </c>
      <c r="C373" t="str">
        <f>"7"</f>
        <v>7</v>
      </c>
      <c r="D373" t="str">
        <f>""</f>
        <v/>
      </c>
      <c r="E373" t="str">
        <f>"52654.992"</f>
        <v>52654.992</v>
      </c>
      <c r="F373" t="str">
        <f>""</f>
        <v/>
      </c>
      <c r="G373" t="str">
        <f>"0.003"</f>
        <v>0.003</v>
      </c>
      <c r="H373" t="str">
        <f>"1.147"</f>
        <v>1.147</v>
      </c>
      <c r="I373" t="str">
        <f>"  88             :     8  3d6.(1I).4s.4p.(3P*)  3I*  "</f>
        <v xml:space="preserve">  88             :     8  3d6.(1I).4s.4p.(3P*)  3I*  </v>
      </c>
      <c r="J373" t="str">
        <f>""</f>
        <v/>
      </c>
    </row>
    <row r="374" spans="1:10">
      <c r="A374" s="1" t="str">
        <f t="shared" si="42"/>
        <v>3d7.(2H).4p</v>
      </c>
      <c r="B374" t="str">
        <f>"y 3I*"</f>
        <v>y 3I*</v>
      </c>
      <c r="C374" t="str">
        <f>"5"</f>
        <v>5</v>
      </c>
      <c r="D374" t="str">
        <f>""</f>
        <v/>
      </c>
      <c r="E374" t="str">
        <f>"52898.998"</f>
        <v>52898.998</v>
      </c>
      <c r="F374" t="str">
        <f>""</f>
        <v/>
      </c>
      <c r="G374" t="str">
        <f>"0.003"</f>
        <v>0.003</v>
      </c>
      <c r="H374" t="str">
        <f>"0.830"</f>
        <v>0.830</v>
      </c>
      <c r="I374" t="str">
        <f>"  85             :     9  3d6.(1I).4s.4p.(3P*)  3I*  "</f>
        <v xml:space="preserve">  85             :     9  3d6.(1I).4s.4p.(3P*)  3I*  </v>
      </c>
      <c r="J374" t="str">
        <f>""</f>
        <v/>
      </c>
    </row>
    <row r="375" spans="1:10">
      <c r="A375" s="1" t="str">
        <f>"3d7.(4F).5p"</f>
        <v>3d7.(4F).5p</v>
      </c>
      <c r="B375" t="str">
        <f>"3G*"</f>
        <v>3G*</v>
      </c>
      <c r="C375" t="str">
        <f>"5"</f>
        <v>5</v>
      </c>
      <c r="D375" t="str">
        <f>""</f>
        <v/>
      </c>
      <c r="E375" t="str">
        <f>"52807.001"</f>
        <v>52807.001</v>
      </c>
      <c r="F375" t="str">
        <f>""</f>
        <v/>
      </c>
      <c r="G375" t="str">
        <f>"0.002"</f>
        <v>0.002</v>
      </c>
      <c r="H375" t="str">
        <f>""</f>
        <v/>
      </c>
      <c r="I375" t="str">
        <f>"                                                     "</f>
        <v xml:space="preserve">                                                     </v>
      </c>
      <c r="J375" t="str">
        <f>""</f>
        <v/>
      </c>
    </row>
    <row r="376" spans="1:10">
      <c r="A376" s="1" t="str">
        <f>"3d7.(4F).5p"</f>
        <v>3d7.(4F).5p</v>
      </c>
      <c r="B376" t="str">
        <f>"3G*"</f>
        <v>3G*</v>
      </c>
      <c r="C376" t="str">
        <f>"4"</f>
        <v>4</v>
      </c>
      <c r="D376" t="str">
        <f>""</f>
        <v/>
      </c>
      <c r="E376" t="str">
        <f>"54017.581"</f>
        <v>54017.581</v>
      </c>
      <c r="F376" t="str">
        <f>""</f>
        <v/>
      </c>
      <c r="G376" t="str">
        <f>"0.002"</f>
        <v>0.002</v>
      </c>
      <c r="H376" t="str">
        <f>""</f>
        <v/>
      </c>
      <c r="I376" t="str">
        <f>"                                                     "</f>
        <v xml:space="preserve">                                                     </v>
      </c>
      <c r="J376" t="str">
        <f>""</f>
        <v/>
      </c>
    </row>
    <row r="377" spans="1:10">
      <c r="A377" s="1" t="str">
        <f>"3d7.(4F).5p"</f>
        <v>3d7.(4F).5p</v>
      </c>
      <c r="B377" t="str">
        <f>"3G*"</f>
        <v>3G*</v>
      </c>
      <c r="C377" t="str">
        <f>"3"</f>
        <v>3</v>
      </c>
      <c r="D377" t="str">
        <f>""</f>
        <v/>
      </c>
      <c r="E377" t="str">
        <f>"54357.405"</f>
        <v>54357.405</v>
      </c>
      <c r="F377" t="str">
        <f>""</f>
        <v/>
      </c>
      <c r="G377" t="str">
        <f>"0.001"</f>
        <v>0.001</v>
      </c>
      <c r="H377" t="str">
        <f>""</f>
        <v/>
      </c>
      <c r="I377" t="str">
        <f>"                                                     "</f>
        <v xml:space="preserve">                                                     </v>
      </c>
      <c r="J377" t="str">
        <f>""</f>
        <v/>
      </c>
    </row>
    <row r="378" spans="1:10">
      <c r="A378" s="1" t="str">
        <f>"3d7.(2D2).4p"</f>
        <v>3d7.(2D2).4p</v>
      </c>
      <c r="B378" t="str">
        <f>"v 3P*"</f>
        <v>v 3P*</v>
      </c>
      <c r="C378" t="str">
        <f>"2"</f>
        <v>2</v>
      </c>
      <c r="D378" t="str">
        <f>""</f>
        <v/>
      </c>
      <c r="E378" t="str">
        <f>"52916.295"</f>
        <v>52916.295</v>
      </c>
      <c r="F378" t="str">
        <f>""</f>
        <v/>
      </c>
      <c r="G378" t="str">
        <f>"0.002"</f>
        <v>0.002</v>
      </c>
      <c r="H378" t="str">
        <f>"1.495"</f>
        <v>1.495</v>
      </c>
      <c r="I378" t="str">
        <f>"  55             :    19  3d6.(3P2).4s.4p.(1P*) 3P*  "</f>
        <v xml:space="preserve">  55             :    19  3d6.(3P2).4s.4p.(1P*) 3P*  </v>
      </c>
      <c r="J378" t="str">
        <f>""</f>
        <v/>
      </c>
    </row>
    <row r="379" spans="1:10">
      <c r="A379" s="1" t="str">
        <f>"3d7.(2D2).4p"</f>
        <v>3d7.(2D2).4p</v>
      </c>
      <c r="B379" t="str">
        <f>"v 3P*"</f>
        <v>v 3P*</v>
      </c>
      <c r="C379" t="str">
        <f>"1"</f>
        <v>1</v>
      </c>
      <c r="D379" t="str">
        <f>""</f>
        <v/>
      </c>
      <c r="E379" t="str">
        <f>"53229.941"</f>
        <v>53229.941</v>
      </c>
      <c r="F379" t="str">
        <f>""</f>
        <v/>
      </c>
      <c r="G379" t="str">
        <f>"0.002"</f>
        <v>0.002</v>
      </c>
      <c r="H379" t="str">
        <f>"1.266"</f>
        <v>1.266</v>
      </c>
      <c r="I379" t="str">
        <f>"  41             :    13  3d7.(2P).4p           1P*  "</f>
        <v xml:space="preserve">  41             :    13  3d7.(2P).4p           1P*  </v>
      </c>
      <c r="J379" t="str">
        <f>""</f>
        <v/>
      </c>
    </row>
    <row r="380" spans="1:10">
      <c r="A380" s="1" t="str">
        <f>"3d6.(3G).4s.4p.(3P*)"</f>
        <v>3d6.(3G).4s.4p.(3P*)</v>
      </c>
      <c r="B380" t="str">
        <f>"x 3F*"</f>
        <v>x 3F*</v>
      </c>
      <c r="C380" t="str">
        <f>"4"</f>
        <v>4</v>
      </c>
      <c r="D380" t="str">
        <f>""</f>
        <v/>
      </c>
      <c r="E380" t="str">
        <f>"52953.629"</f>
        <v>52953.629</v>
      </c>
      <c r="F380" t="str">
        <f>""</f>
        <v/>
      </c>
      <c r="G380" t="str">
        <f>"0.001"</f>
        <v>0.001</v>
      </c>
      <c r="H380" t="str">
        <f>""</f>
        <v/>
      </c>
      <c r="I380" t="str">
        <f>"                                                     "</f>
        <v xml:space="preserve">                                                     </v>
      </c>
      <c r="J380" t="str">
        <f>""</f>
        <v/>
      </c>
    </row>
    <row r="381" spans="1:10">
      <c r="A381" s="1" t="str">
        <f>"3d6.(3G).4s.4p.(3P*)"</f>
        <v>3d6.(3G).4s.4p.(3P*)</v>
      </c>
      <c r="B381" t="str">
        <f>"x 3F*"</f>
        <v>x 3F*</v>
      </c>
      <c r="C381" t="str">
        <f>"3"</f>
        <v>3</v>
      </c>
      <c r="D381" t="str">
        <f>""</f>
        <v/>
      </c>
      <c r="E381" t="str">
        <f>"53357.515"</f>
        <v>53357.515</v>
      </c>
      <c r="F381" t="str">
        <f>""</f>
        <v/>
      </c>
      <c r="G381" t="str">
        <f>"0.001"</f>
        <v>0.001</v>
      </c>
      <c r="H381" t="str">
        <f>""</f>
        <v/>
      </c>
      <c r="I381" t="str">
        <f>"  34             :    30  3d7.(2D2).4p          3F*  "</f>
        <v xml:space="preserve">  34             :    30  3d7.(2D2).4p          3F*  </v>
      </c>
      <c r="J381" t="str">
        <f>""</f>
        <v/>
      </c>
    </row>
    <row r="382" spans="1:10">
      <c r="A382" s="1" t="str">
        <f>"3d6.(3G).4s.4p.(3P*)"</f>
        <v>3d6.(3G).4s.4p.(3P*)</v>
      </c>
      <c r="B382" t="str">
        <f>"x 3F*"</f>
        <v>x 3F*</v>
      </c>
      <c r="C382" t="str">
        <f>"2"</f>
        <v>2</v>
      </c>
      <c r="D382" t="str">
        <f>""</f>
        <v/>
      </c>
      <c r="E382" t="str">
        <f>"53749.405"</f>
        <v>53749.405</v>
      </c>
      <c r="F382" t="str">
        <f>""</f>
        <v/>
      </c>
      <c r="G382" t="str">
        <f>"0.002"</f>
        <v>0.002</v>
      </c>
      <c r="H382" t="str">
        <f>""</f>
        <v/>
      </c>
      <c r="I382" t="str">
        <f t="shared" ref="I382:I397" si="43">"                                                     "</f>
        <v xml:space="preserve">                                                     </v>
      </c>
      <c r="J382" t="str">
        <f>""</f>
        <v/>
      </c>
    </row>
    <row r="383" spans="1:10">
      <c r="A383" s="1" t="str">
        <f>"3d7.(4F).4d"</f>
        <v>3d7.(4F).4d</v>
      </c>
      <c r="B383" t="str">
        <f>"g 5F"</f>
        <v>g 5F</v>
      </c>
      <c r="C383" t="str">
        <f>"5"</f>
        <v>5</v>
      </c>
      <c r="D383" t="str">
        <f>""</f>
        <v/>
      </c>
      <c r="E383" t="str">
        <f>"53061.318"</f>
        <v>53061.318</v>
      </c>
      <c r="F383" t="str">
        <f>""</f>
        <v/>
      </c>
      <c r="G383" t="str">
        <f>"0.001"</f>
        <v>0.001</v>
      </c>
      <c r="H383" t="str">
        <f>""</f>
        <v/>
      </c>
      <c r="I383" t="str">
        <f t="shared" si="43"/>
        <v xml:space="preserve">                                                     </v>
      </c>
      <c r="J383" t="str">
        <f>""</f>
        <v/>
      </c>
    </row>
    <row r="384" spans="1:10">
      <c r="A384" s="1" t="str">
        <f>"3d7.(4F).4d"</f>
        <v>3d7.(4F).4d</v>
      </c>
      <c r="B384" t="str">
        <f>"g 5F"</f>
        <v>g 5F</v>
      </c>
      <c r="C384" t="str">
        <f>"4"</f>
        <v>4</v>
      </c>
      <c r="D384" t="str">
        <f>""</f>
        <v/>
      </c>
      <c r="E384" t="str">
        <f>"53393.673"</f>
        <v>53393.673</v>
      </c>
      <c r="F384" t="str">
        <f>""</f>
        <v/>
      </c>
      <c r="G384" t="str">
        <f>"0.001"</f>
        <v>0.001</v>
      </c>
      <c r="H384" t="str">
        <f>""</f>
        <v/>
      </c>
      <c r="I384" t="str">
        <f t="shared" si="43"/>
        <v xml:space="preserve">                                                     </v>
      </c>
      <c r="J384" t="str">
        <f>""</f>
        <v/>
      </c>
    </row>
    <row r="385" spans="1:10">
      <c r="A385" s="1" t="str">
        <f>"3d7.(4F).4d"</f>
        <v>3d7.(4F).4d</v>
      </c>
      <c r="B385" t="str">
        <f>"g 5F"</f>
        <v>g 5F</v>
      </c>
      <c r="C385" t="str">
        <f>"3"</f>
        <v>3</v>
      </c>
      <c r="D385" t="str">
        <f>""</f>
        <v/>
      </c>
      <c r="E385" t="str">
        <f>"53830.975"</f>
        <v>53830.975</v>
      </c>
      <c r="F385" t="str">
        <f>""</f>
        <v/>
      </c>
      <c r="G385" t="str">
        <f>"0.001"</f>
        <v>0.001</v>
      </c>
      <c r="H385" t="str">
        <f>""</f>
        <v/>
      </c>
      <c r="I385" t="str">
        <f t="shared" si="43"/>
        <v xml:space="preserve">                                                     </v>
      </c>
      <c r="J385" t="str">
        <f>""</f>
        <v/>
      </c>
    </row>
    <row r="386" spans="1:10">
      <c r="A386" s="1" t="str">
        <f>"3d7.(4F).4d"</f>
        <v>3d7.(4F).4d</v>
      </c>
      <c r="B386" t="str">
        <f>"g 5F"</f>
        <v>g 5F</v>
      </c>
      <c r="C386" t="str">
        <f>"2"</f>
        <v>2</v>
      </c>
      <c r="D386" t="str">
        <f>""</f>
        <v/>
      </c>
      <c r="E386" t="str">
        <f>"54257.502"</f>
        <v>54257.502</v>
      </c>
      <c r="F386" t="str">
        <f>""</f>
        <v/>
      </c>
      <c r="G386" t="str">
        <f>"0.001"</f>
        <v>0.001</v>
      </c>
      <c r="H386" t="str">
        <f>""</f>
        <v/>
      </c>
      <c r="I386" t="str">
        <f t="shared" si="43"/>
        <v xml:space="preserve">                                                     </v>
      </c>
      <c r="J386" t="str">
        <f>""</f>
        <v/>
      </c>
    </row>
    <row r="387" spans="1:10">
      <c r="A387" s="1" t="str">
        <f>"3d7.(4F).4d"</f>
        <v>3d7.(4F).4d</v>
      </c>
      <c r="B387" t="str">
        <f>"g 5F"</f>
        <v>g 5F</v>
      </c>
      <c r="C387" t="str">
        <f>"1"</f>
        <v>1</v>
      </c>
      <c r="D387" t="str">
        <f>""</f>
        <v/>
      </c>
      <c r="E387" t="str">
        <f>"54386.186"</f>
        <v>54386.186</v>
      </c>
      <c r="F387" t="str">
        <f>""</f>
        <v/>
      </c>
      <c r="G387" t="str">
        <f>"0.001"</f>
        <v>0.001</v>
      </c>
      <c r="H387" t="str">
        <f>""</f>
        <v/>
      </c>
      <c r="I387" t="str">
        <f t="shared" si="43"/>
        <v xml:space="preserve">                                                     </v>
      </c>
      <c r="J387" t="str">
        <f>""</f>
        <v/>
      </c>
    </row>
    <row r="388" spans="1:10">
      <c r="A388" s="1" t="str">
        <f t="shared" ref="A388:A397" si="44">"3d7.(4F).5p"</f>
        <v>3d7.(4F).5p</v>
      </c>
      <c r="B388" t="str">
        <f>"5G*"</f>
        <v>5G*</v>
      </c>
      <c r="C388" t="str">
        <f>"6"</f>
        <v>6</v>
      </c>
      <c r="D388" t="str">
        <f>""</f>
        <v/>
      </c>
      <c r="E388" t="str">
        <f>"53069.357"</f>
        <v>53069.357</v>
      </c>
      <c r="F388" t="str">
        <f>""</f>
        <v/>
      </c>
      <c r="G388" t="str">
        <f>"0.002"</f>
        <v>0.002</v>
      </c>
      <c r="H388" t="str">
        <f>""</f>
        <v/>
      </c>
      <c r="I388" t="str">
        <f t="shared" si="43"/>
        <v xml:space="preserve">                                                     </v>
      </c>
      <c r="J388" t="str">
        <f>""</f>
        <v/>
      </c>
    </row>
    <row r="389" spans="1:10">
      <c r="A389" s="1" t="str">
        <f t="shared" si="44"/>
        <v>3d7.(4F).5p</v>
      </c>
      <c r="B389" t="str">
        <f>"5G*"</f>
        <v>5G*</v>
      </c>
      <c r="C389" t="str">
        <f>"5"</f>
        <v>5</v>
      </c>
      <c r="D389" t="str">
        <f>""</f>
        <v/>
      </c>
      <c r="E389" t="str">
        <f>"53586.510"</f>
        <v>53586.510</v>
      </c>
      <c r="F389" t="str">
        <f>""</f>
        <v/>
      </c>
      <c r="G389" t="str">
        <f>"0.002"</f>
        <v>0.002</v>
      </c>
      <c r="H389" t="str">
        <f>""</f>
        <v/>
      </c>
      <c r="I389" t="str">
        <f t="shared" si="43"/>
        <v xml:space="preserve">                                                     </v>
      </c>
      <c r="J389" t="str">
        <f>""</f>
        <v/>
      </c>
    </row>
    <row r="390" spans="1:10">
      <c r="A390" s="1" t="str">
        <f t="shared" si="44"/>
        <v>3d7.(4F).5p</v>
      </c>
      <c r="B390" t="str">
        <f>"5G*"</f>
        <v>5G*</v>
      </c>
      <c r="C390" t="str">
        <f>"4"</f>
        <v>4</v>
      </c>
      <c r="D390" t="str">
        <f>""</f>
        <v/>
      </c>
      <c r="E390" t="str">
        <f>"53852.114"</f>
        <v>53852.114</v>
      </c>
      <c r="F390" t="str">
        <f>""</f>
        <v/>
      </c>
      <c r="G390" t="str">
        <f>"0.001"</f>
        <v>0.001</v>
      </c>
      <c r="H390" t="str">
        <f>""</f>
        <v/>
      </c>
      <c r="I390" t="str">
        <f t="shared" si="43"/>
        <v xml:space="preserve">                                                     </v>
      </c>
      <c r="J390" t="str">
        <f>""</f>
        <v/>
      </c>
    </row>
    <row r="391" spans="1:10">
      <c r="A391" s="1" t="str">
        <f t="shared" si="44"/>
        <v>3d7.(4F).5p</v>
      </c>
      <c r="B391" t="str">
        <f>"5G*"</f>
        <v>5G*</v>
      </c>
      <c r="C391" t="str">
        <f>"3"</f>
        <v>3</v>
      </c>
      <c r="D391" t="str">
        <f>""</f>
        <v/>
      </c>
      <c r="E391" t="str">
        <f>"54134.655"</f>
        <v>54134.655</v>
      </c>
      <c r="F391" t="str">
        <f>""</f>
        <v/>
      </c>
      <c r="G391" t="str">
        <f>"0.002"</f>
        <v>0.002</v>
      </c>
      <c r="H391" t="str">
        <f>""</f>
        <v/>
      </c>
      <c r="I391" t="str">
        <f t="shared" si="43"/>
        <v xml:space="preserve">                                                     </v>
      </c>
      <c r="J391" t="str">
        <f>""</f>
        <v/>
      </c>
    </row>
    <row r="392" spans="1:10">
      <c r="A392" s="1" t="str">
        <f t="shared" si="44"/>
        <v>3d7.(4F).5p</v>
      </c>
      <c r="B392" t="str">
        <f>"5G*"</f>
        <v>5G*</v>
      </c>
      <c r="C392" t="str">
        <f>"2"</f>
        <v>2</v>
      </c>
      <c r="D392" t="str">
        <f>""</f>
        <v/>
      </c>
      <c r="E392" t="str">
        <f>"54257.679"</f>
        <v>54257.679</v>
      </c>
      <c r="F392" t="str">
        <f>""</f>
        <v/>
      </c>
      <c r="G392" t="str">
        <f>"0.002"</f>
        <v>0.002</v>
      </c>
      <c r="H392" t="str">
        <f>""</f>
        <v/>
      </c>
      <c r="I392" t="str">
        <f t="shared" si="43"/>
        <v xml:space="preserve">                                                     </v>
      </c>
      <c r="J392" t="str">
        <f>""</f>
        <v/>
      </c>
    </row>
    <row r="393" spans="1:10">
      <c r="A393" s="1" t="str">
        <f t="shared" si="44"/>
        <v>3d7.(4F).5p</v>
      </c>
      <c r="B393" t="str">
        <f>"5F*"</f>
        <v>5F*</v>
      </c>
      <c r="C393" t="str">
        <f>"5"</f>
        <v>5</v>
      </c>
      <c r="D393" t="str">
        <f>""</f>
        <v/>
      </c>
      <c r="E393" t="str">
        <f>"53084.789"</f>
        <v>53084.789</v>
      </c>
      <c r="F393" t="str">
        <f>""</f>
        <v/>
      </c>
      <c r="G393" t="str">
        <f>"0.001"</f>
        <v>0.001</v>
      </c>
      <c r="H393" t="str">
        <f>""</f>
        <v/>
      </c>
      <c r="I393" t="str">
        <f t="shared" si="43"/>
        <v xml:space="preserve">                                                     </v>
      </c>
      <c r="J393" t="str">
        <f>""</f>
        <v/>
      </c>
    </row>
    <row r="394" spans="1:10">
      <c r="A394" s="1" t="str">
        <f t="shared" si="44"/>
        <v>3d7.(4F).5p</v>
      </c>
      <c r="B394" t="str">
        <f>"5F*"</f>
        <v>5F*</v>
      </c>
      <c r="C394" t="str">
        <f>"4"</f>
        <v>4</v>
      </c>
      <c r="D394" t="str">
        <f>""</f>
        <v/>
      </c>
      <c r="E394" t="str">
        <f>"53388.637"</f>
        <v>53388.637</v>
      </c>
      <c r="F394" t="str">
        <f>""</f>
        <v/>
      </c>
      <c r="G394" t="str">
        <f>"0.001"</f>
        <v>0.001</v>
      </c>
      <c r="H394" t="str">
        <f>""</f>
        <v/>
      </c>
      <c r="I394" t="str">
        <f t="shared" si="43"/>
        <v xml:space="preserve">                                                     </v>
      </c>
      <c r="J394" t="str">
        <f>""</f>
        <v/>
      </c>
    </row>
    <row r="395" spans="1:10">
      <c r="A395" s="1" t="str">
        <f t="shared" si="44"/>
        <v>3d7.(4F).5p</v>
      </c>
      <c r="B395" t="str">
        <f>"5F*"</f>
        <v>5F*</v>
      </c>
      <c r="C395" t="str">
        <f>"3"</f>
        <v>3</v>
      </c>
      <c r="D395" t="str">
        <f>""</f>
        <v/>
      </c>
      <c r="E395" t="str">
        <f>"53661.079"</f>
        <v>53661.079</v>
      </c>
      <c r="F395" t="str">
        <f>""</f>
        <v/>
      </c>
      <c r="G395" t="str">
        <f>"0.001"</f>
        <v>0.001</v>
      </c>
      <c r="H395" t="str">
        <f>"1.21?"</f>
        <v>1.21?</v>
      </c>
      <c r="I395" t="str">
        <f t="shared" si="43"/>
        <v xml:space="preserve">                                                     </v>
      </c>
      <c r="J395" t="str">
        <f>""</f>
        <v/>
      </c>
    </row>
    <row r="396" spans="1:10">
      <c r="A396" s="1" t="str">
        <f t="shared" si="44"/>
        <v>3d7.(4F).5p</v>
      </c>
      <c r="B396" t="str">
        <f>"5F*"</f>
        <v>5F*</v>
      </c>
      <c r="C396" t="str">
        <f>"2"</f>
        <v>2</v>
      </c>
      <c r="D396" t="str">
        <f>""</f>
        <v/>
      </c>
      <c r="E396" t="str">
        <f>"54042.527"</f>
        <v>54042.527</v>
      </c>
      <c r="F396" t="str">
        <f>""</f>
        <v/>
      </c>
      <c r="G396" t="str">
        <f>"0.002"</f>
        <v>0.002</v>
      </c>
      <c r="H396" t="str">
        <f>""</f>
        <v/>
      </c>
      <c r="I396" t="str">
        <f t="shared" si="43"/>
        <v xml:space="preserve">                                                     </v>
      </c>
      <c r="J396" t="str">
        <f>""</f>
        <v/>
      </c>
    </row>
    <row r="397" spans="1:10">
      <c r="A397" s="1" t="str">
        <f t="shared" si="44"/>
        <v>3d7.(4F).5p</v>
      </c>
      <c r="B397" t="str">
        <f>"5F*"</f>
        <v>5F*</v>
      </c>
      <c r="C397" t="str">
        <f>"1"</f>
        <v>1</v>
      </c>
      <c r="D397" t="str">
        <f>""</f>
        <v/>
      </c>
      <c r="E397" t="str">
        <f>"54224.420"</f>
        <v>54224.420</v>
      </c>
      <c r="F397" t="str">
        <f>""</f>
        <v/>
      </c>
      <c r="G397" t="str">
        <f>"0.002"</f>
        <v>0.002</v>
      </c>
      <c r="H397" t="str">
        <f>""</f>
        <v/>
      </c>
      <c r="I397" t="str">
        <f t="shared" si="43"/>
        <v xml:space="preserve">                                                     </v>
      </c>
      <c r="J397" t="str">
        <f>""</f>
        <v/>
      </c>
    </row>
    <row r="398" spans="1:10">
      <c r="A398" s="1" t="str">
        <f>"3d7.(2H).4p"</f>
        <v>3d7.(2H).4p</v>
      </c>
      <c r="B398" t="str">
        <f>"1I*"</f>
        <v>1I*</v>
      </c>
      <c r="C398" t="str">
        <f>"6"</f>
        <v>6</v>
      </c>
      <c r="D398" t="str">
        <f>""</f>
        <v/>
      </c>
      <c r="E398" t="str">
        <f>"53093.529"</f>
        <v>53093.529</v>
      </c>
      <c r="F398" t="str">
        <f>""</f>
        <v/>
      </c>
      <c r="G398" t="str">
        <f>"0.002"</f>
        <v>0.002</v>
      </c>
      <c r="H398" t="str">
        <f>"1.010"</f>
        <v>1.010</v>
      </c>
      <c r="I398" t="str">
        <f>"  65             :    21  3d7.(2H).4p           3I*  "</f>
        <v xml:space="preserve">  65             :    21  3d7.(2H).4p           3I*  </v>
      </c>
      <c r="J398" t="str">
        <f>""</f>
        <v/>
      </c>
    </row>
    <row r="399" spans="1:10">
      <c r="A399" s="1" t="str">
        <f t="shared" ref="A399:A415" si="45">"3d7.(4F).4d"</f>
        <v>3d7.(4F).4d</v>
      </c>
      <c r="B399" t="str">
        <f>"h 5D"</f>
        <v>h 5D</v>
      </c>
      <c r="C399" t="str">
        <f>"4"</f>
        <v>4</v>
      </c>
      <c r="D399" t="str">
        <f>""</f>
        <v/>
      </c>
      <c r="E399" t="str">
        <f>"53155.145"</f>
        <v>53155.145</v>
      </c>
      <c r="F399" t="str">
        <f>""</f>
        <v/>
      </c>
      <c r="G399" t="str">
        <f t="shared" ref="G399:G410" si="46">"0.001"</f>
        <v>0.001</v>
      </c>
      <c r="H399" t="str">
        <f>"1.435"</f>
        <v>1.435</v>
      </c>
      <c r="I399" t="str">
        <f t="shared" ref="I399:I415" si="47">"                                                     "</f>
        <v xml:space="preserve">                                                     </v>
      </c>
      <c r="J399" t="str">
        <f>""</f>
        <v/>
      </c>
    </row>
    <row r="400" spans="1:10">
      <c r="A400" s="1" t="str">
        <f t="shared" si="45"/>
        <v>3d7.(4F).4d</v>
      </c>
      <c r="B400" t="str">
        <f>"h 5D"</f>
        <v>h 5D</v>
      </c>
      <c r="C400" t="str">
        <f>"3"</f>
        <v>3</v>
      </c>
      <c r="D400" t="str">
        <f>""</f>
        <v/>
      </c>
      <c r="E400" t="str">
        <f>"53545.833"</f>
        <v>53545.833</v>
      </c>
      <c r="F400" t="str">
        <f>""</f>
        <v/>
      </c>
      <c r="G400" t="str">
        <f t="shared" si="46"/>
        <v>0.001</v>
      </c>
      <c r="H400" t="str">
        <f>""</f>
        <v/>
      </c>
      <c r="I400" t="str">
        <f t="shared" si="47"/>
        <v xml:space="preserve">                                                     </v>
      </c>
      <c r="J400" t="str">
        <f>""</f>
        <v/>
      </c>
    </row>
    <row r="401" spans="1:10">
      <c r="A401" s="1" t="str">
        <f t="shared" si="45"/>
        <v>3d7.(4F).4d</v>
      </c>
      <c r="B401" t="str">
        <f>"h 5D"</f>
        <v>h 5D</v>
      </c>
      <c r="C401" t="str">
        <f>"2"</f>
        <v>2</v>
      </c>
      <c r="D401" t="str">
        <f>""</f>
        <v/>
      </c>
      <c r="E401" t="str">
        <f>"53966.662"</f>
        <v>53966.662</v>
      </c>
      <c r="F401" t="str">
        <f>""</f>
        <v/>
      </c>
      <c r="G401" t="str">
        <f t="shared" si="46"/>
        <v>0.001</v>
      </c>
      <c r="H401" t="str">
        <f>""</f>
        <v/>
      </c>
      <c r="I401" t="str">
        <f t="shared" si="47"/>
        <v xml:space="preserve">                                                     </v>
      </c>
      <c r="J401" t="str">
        <f>""</f>
        <v/>
      </c>
    </row>
    <row r="402" spans="1:10">
      <c r="A402" s="1" t="str">
        <f t="shared" si="45"/>
        <v>3d7.(4F).4d</v>
      </c>
      <c r="B402" t="str">
        <f>"h 5D"</f>
        <v>h 5D</v>
      </c>
      <c r="C402" t="str">
        <f>"1"</f>
        <v>1</v>
      </c>
      <c r="D402" t="str">
        <f>""</f>
        <v/>
      </c>
      <c r="E402" t="str">
        <f>"54132.551"</f>
        <v>54132.551</v>
      </c>
      <c r="F402" t="str">
        <f>""</f>
        <v/>
      </c>
      <c r="G402" t="str">
        <f t="shared" si="46"/>
        <v>0.001</v>
      </c>
      <c r="H402" t="str">
        <f>""</f>
        <v/>
      </c>
      <c r="I402" t="str">
        <f t="shared" si="47"/>
        <v xml:space="preserve">                                                     </v>
      </c>
      <c r="J402" t="str">
        <f>""</f>
        <v/>
      </c>
    </row>
    <row r="403" spans="1:10">
      <c r="A403" s="1" t="str">
        <f t="shared" si="45"/>
        <v>3d7.(4F).4d</v>
      </c>
      <c r="B403" t="str">
        <f>"f 5P"</f>
        <v>f 5P</v>
      </c>
      <c r="C403" t="str">
        <f>"3"</f>
        <v>3</v>
      </c>
      <c r="D403" t="str">
        <f>""</f>
        <v/>
      </c>
      <c r="E403" t="str">
        <f>"53160.593"</f>
        <v>53160.593</v>
      </c>
      <c r="F403" t="str">
        <f>""</f>
        <v/>
      </c>
      <c r="G403" t="str">
        <f t="shared" si="46"/>
        <v>0.001</v>
      </c>
      <c r="H403" t="str">
        <f>""</f>
        <v/>
      </c>
      <c r="I403" t="str">
        <f t="shared" si="47"/>
        <v xml:space="preserve">                                                     </v>
      </c>
      <c r="J403" t="str">
        <f>""</f>
        <v/>
      </c>
    </row>
    <row r="404" spans="1:10">
      <c r="A404" s="1" t="str">
        <f t="shared" si="45"/>
        <v>3d7.(4F).4d</v>
      </c>
      <c r="B404" t="str">
        <f>"f 5P"</f>
        <v>f 5P</v>
      </c>
      <c r="C404" t="str">
        <f>"2"</f>
        <v>2</v>
      </c>
      <c r="D404" t="str">
        <f>""</f>
        <v/>
      </c>
      <c r="E404" t="str">
        <f>"53568.751"</f>
        <v>53568.751</v>
      </c>
      <c r="F404" t="str">
        <f>""</f>
        <v/>
      </c>
      <c r="G404" t="str">
        <f t="shared" si="46"/>
        <v>0.001</v>
      </c>
      <c r="H404" t="str">
        <f>""</f>
        <v/>
      </c>
      <c r="I404" t="str">
        <f t="shared" si="47"/>
        <v xml:space="preserve">                                                     </v>
      </c>
      <c r="J404" t="str">
        <f>""</f>
        <v/>
      </c>
    </row>
    <row r="405" spans="1:10">
      <c r="A405" s="1" t="str">
        <f t="shared" si="45"/>
        <v>3d7.(4F).4d</v>
      </c>
      <c r="B405" t="str">
        <f>"f 5P"</f>
        <v>f 5P</v>
      </c>
      <c r="C405" t="str">
        <f>"1"</f>
        <v>1</v>
      </c>
      <c r="D405" t="str">
        <f>""</f>
        <v/>
      </c>
      <c r="E405" t="str">
        <f>"53925.200"</f>
        <v>53925.200</v>
      </c>
      <c r="F405" t="str">
        <f>""</f>
        <v/>
      </c>
      <c r="G405" t="str">
        <f t="shared" si="46"/>
        <v>0.001</v>
      </c>
      <c r="H405" t="str">
        <f>""</f>
        <v/>
      </c>
      <c r="I405" t="str">
        <f t="shared" si="47"/>
        <v xml:space="preserve">                                                     </v>
      </c>
      <c r="J405" t="str">
        <f>""</f>
        <v/>
      </c>
    </row>
    <row r="406" spans="1:10">
      <c r="A406" s="1" t="str">
        <f t="shared" si="45"/>
        <v>3d7.(4F).4d</v>
      </c>
      <c r="B406" t="str">
        <f>"f 5G"</f>
        <v>f 5G</v>
      </c>
      <c r="C406" t="str">
        <f>"6"</f>
        <v>6</v>
      </c>
      <c r="D406" t="str">
        <f>""</f>
        <v/>
      </c>
      <c r="E406" t="str">
        <f>"53169.146"</f>
        <v>53169.146</v>
      </c>
      <c r="F406" t="str">
        <f>""</f>
        <v/>
      </c>
      <c r="G406" t="str">
        <f t="shared" si="46"/>
        <v>0.001</v>
      </c>
      <c r="H406" t="str">
        <f>"1.323"</f>
        <v>1.323</v>
      </c>
      <c r="I406" t="str">
        <f t="shared" si="47"/>
        <v xml:space="preserve">                                                     </v>
      </c>
      <c r="J406" t="str">
        <f>""</f>
        <v/>
      </c>
    </row>
    <row r="407" spans="1:10">
      <c r="A407" s="1" t="str">
        <f t="shared" si="45"/>
        <v>3d7.(4F).4d</v>
      </c>
      <c r="B407" t="str">
        <f>"f 5G"</f>
        <v>f 5G</v>
      </c>
      <c r="C407" t="str">
        <f>"5"</f>
        <v>5</v>
      </c>
      <c r="D407" t="str">
        <f>""</f>
        <v/>
      </c>
      <c r="E407" t="str">
        <f>"53281.689"</f>
        <v>53281.689</v>
      </c>
      <c r="F407" t="str">
        <f>""</f>
        <v/>
      </c>
      <c r="G407" t="str">
        <f t="shared" si="46"/>
        <v>0.001</v>
      </c>
      <c r="H407" t="str">
        <f>"1.221"</f>
        <v>1.221</v>
      </c>
      <c r="I407" t="str">
        <f t="shared" si="47"/>
        <v xml:space="preserve">                                                     </v>
      </c>
      <c r="J407" t="str">
        <f>""</f>
        <v/>
      </c>
    </row>
    <row r="408" spans="1:10">
      <c r="A408" s="1" t="str">
        <f t="shared" si="45"/>
        <v>3d7.(4F).4d</v>
      </c>
      <c r="B408" t="str">
        <f>"f 5G"</f>
        <v>f 5G</v>
      </c>
      <c r="C408" t="str">
        <f>"4"</f>
        <v>4</v>
      </c>
      <c r="D408" t="str">
        <f>""</f>
        <v/>
      </c>
      <c r="E408" t="str">
        <f>"53768.979"</f>
        <v>53768.979</v>
      </c>
      <c r="F408" t="str">
        <f>""</f>
        <v/>
      </c>
      <c r="G408" t="str">
        <f t="shared" si="46"/>
        <v>0.001</v>
      </c>
      <c r="H408" t="str">
        <f>""</f>
        <v/>
      </c>
      <c r="I408" t="str">
        <f t="shared" si="47"/>
        <v xml:space="preserve">                                                     </v>
      </c>
      <c r="J408" t="str">
        <f>""</f>
        <v/>
      </c>
    </row>
    <row r="409" spans="1:10">
      <c r="A409" s="1" t="str">
        <f t="shared" si="45"/>
        <v>3d7.(4F).4d</v>
      </c>
      <c r="B409" t="str">
        <f>"f 5G"</f>
        <v>f 5G</v>
      </c>
      <c r="C409" t="str">
        <f>"3"</f>
        <v>3</v>
      </c>
      <c r="D409" t="str">
        <f>""</f>
        <v/>
      </c>
      <c r="E409" t="str">
        <f>"54161.139"</f>
        <v>54161.139</v>
      </c>
      <c r="F409" t="str">
        <f>""</f>
        <v/>
      </c>
      <c r="G409" t="str">
        <f t="shared" si="46"/>
        <v>0.001</v>
      </c>
      <c r="H409" t="str">
        <f>"1.142"</f>
        <v>1.142</v>
      </c>
      <c r="I409" t="str">
        <f t="shared" si="47"/>
        <v xml:space="preserve">                                                     </v>
      </c>
      <c r="J409" t="str">
        <f>""</f>
        <v/>
      </c>
    </row>
    <row r="410" spans="1:10">
      <c r="A410" s="1" t="str">
        <f t="shared" si="45"/>
        <v>3d7.(4F).4d</v>
      </c>
      <c r="B410" t="str">
        <f>"f 5G"</f>
        <v>f 5G</v>
      </c>
      <c r="C410" t="str">
        <f>"2"</f>
        <v>2</v>
      </c>
      <c r="D410" t="str">
        <f>""</f>
        <v/>
      </c>
      <c r="E410" t="str">
        <f>"54375.677"</f>
        <v>54375.677</v>
      </c>
      <c r="F410" t="str">
        <f>""</f>
        <v/>
      </c>
      <c r="G410" t="str">
        <f t="shared" si="46"/>
        <v>0.001</v>
      </c>
      <c r="H410" t="str">
        <f>""</f>
        <v/>
      </c>
      <c r="I410" t="str">
        <f t="shared" si="47"/>
        <v xml:space="preserve">                                                     </v>
      </c>
      <c r="J410" t="str">
        <f>""</f>
        <v/>
      </c>
    </row>
    <row r="411" spans="1:10">
      <c r="A411" s="1" t="str">
        <f t="shared" si="45"/>
        <v>3d7.(4F).4d</v>
      </c>
      <c r="B411" t="str">
        <f>"e 5H"</f>
        <v>e 5H</v>
      </c>
      <c r="C411" t="str">
        <f>"7"</f>
        <v>7</v>
      </c>
      <c r="D411" t="str">
        <f>""</f>
        <v/>
      </c>
      <c r="E411" t="str">
        <f>"53275.183"</f>
        <v>53275.183</v>
      </c>
      <c r="F411" t="str">
        <f>""</f>
        <v/>
      </c>
      <c r="G411" t="str">
        <f>"0.002"</f>
        <v>0.002</v>
      </c>
      <c r="H411" t="str">
        <f>"1.30?"</f>
        <v>1.30?</v>
      </c>
      <c r="I411" t="str">
        <f t="shared" si="47"/>
        <v xml:space="preserve">                                                     </v>
      </c>
      <c r="J411" t="str">
        <f>""</f>
        <v/>
      </c>
    </row>
    <row r="412" spans="1:10">
      <c r="A412" s="1" t="str">
        <f t="shared" si="45"/>
        <v>3d7.(4F).4d</v>
      </c>
      <c r="B412" t="str">
        <f>"e 5H"</f>
        <v>e 5H</v>
      </c>
      <c r="C412" t="str">
        <f>"6"</f>
        <v>6</v>
      </c>
      <c r="D412" t="str">
        <f>""</f>
        <v/>
      </c>
      <c r="E412" t="str">
        <f>"53352.989"</f>
        <v>53352.989</v>
      </c>
      <c r="F412" t="str">
        <f>""</f>
        <v/>
      </c>
      <c r="G412" t="str">
        <f>"0.001"</f>
        <v>0.001</v>
      </c>
      <c r="H412" t="str">
        <f>"1.191"</f>
        <v>1.191</v>
      </c>
      <c r="I412" t="str">
        <f t="shared" si="47"/>
        <v xml:space="preserve">                                                     </v>
      </c>
      <c r="J412" t="str">
        <f>""</f>
        <v/>
      </c>
    </row>
    <row r="413" spans="1:10">
      <c r="A413" s="1" t="str">
        <f t="shared" si="45"/>
        <v>3d7.(4F).4d</v>
      </c>
      <c r="B413" t="str">
        <f>"e 5H"</f>
        <v>e 5H</v>
      </c>
      <c r="C413" t="str">
        <f>"5"</f>
        <v>5</v>
      </c>
      <c r="D413" t="str">
        <f>""</f>
        <v/>
      </c>
      <c r="E413" t="str">
        <f>"53874.257"</f>
        <v>53874.257</v>
      </c>
      <c r="F413" t="str">
        <f>""</f>
        <v/>
      </c>
      <c r="G413" t="str">
        <f>"0.001"</f>
        <v>0.001</v>
      </c>
      <c r="H413" t="str">
        <f>"1.102"</f>
        <v>1.102</v>
      </c>
      <c r="I413" t="str">
        <f t="shared" si="47"/>
        <v xml:space="preserve">                                                     </v>
      </c>
      <c r="J413" t="str">
        <f>""</f>
        <v/>
      </c>
    </row>
    <row r="414" spans="1:10">
      <c r="A414" s="1" t="str">
        <f t="shared" si="45"/>
        <v>3d7.(4F).4d</v>
      </c>
      <c r="B414" t="str">
        <f>"e 5H"</f>
        <v>e 5H</v>
      </c>
      <c r="C414" t="str">
        <f>"4"</f>
        <v>4</v>
      </c>
      <c r="D414" t="str">
        <f>""</f>
        <v/>
      </c>
      <c r="E414" t="str">
        <f>"54237.213"</f>
        <v>54237.213</v>
      </c>
      <c r="F414" t="str">
        <f>""</f>
        <v/>
      </c>
      <c r="G414" t="str">
        <f>"0.002"</f>
        <v>0.002</v>
      </c>
      <c r="H414" t="str">
        <f>"0.90?"</f>
        <v>0.90?</v>
      </c>
      <c r="I414" t="str">
        <f t="shared" si="47"/>
        <v xml:space="preserve">                                                     </v>
      </c>
      <c r="J414" t="str">
        <f>""</f>
        <v/>
      </c>
    </row>
    <row r="415" spans="1:10">
      <c r="A415" s="1" t="str">
        <f t="shared" si="45"/>
        <v>3d7.(4F).4d</v>
      </c>
      <c r="B415" t="str">
        <f>"e 5H"</f>
        <v>e 5H</v>
      </c>
      <c r="C415" t="str">
        <f>"3"</f>
        <v>3</v>
      </c>
      <c r="D415" t="str">
        <f>""</f>
        <v/>
      </c>
      <c r="E415" t="str">
        <f>"54490.999"</f>
        <v>54490.999</v>
      </c>
      <c r="F415" t="str">
        <f>""</f>
        <v/>
      </c>
      <c r="G415" t="str">
        <f>"0.001"</f>
        <v>0.001</v>
      </c>
      <c r="H415" t="str">
        <f>"0.484"</f>
        <v>0.484</v>
      </c>
      <c r="I415" t="str">
        <f t="shared" si="47"/>
        <v xml:space="preserve">                                                     </v>
      </c>
      <c r="J415" t="str">
        <f>""</f>
        <v/>
      </c>
    </row>
    <row r="416" spans="1:10">
      <c r="A416" s="1" t="str">
        <f>"3d6.(3G).4s.4p.(3P*)"</f>
        <v>3d6.(3G).4s.4p.(3P*)</v>
      </c>
      <c r="B416" t="str">
        <f>"y 1H*"</f>
        <v>y 1H*</v>
      </c>
      <c r="C416" t="str">
        <f>"5"</f>
        <v>5</v>
      </c>
      <c r="D416" t="str">
        <f>""</f>
        <v/>
      </c>
      <c r="E416" t="str">
        <f>"53313.438"</f>
        <v>53313.438</v>
      </c>
      <c r="F416" t="str">
        <f>""</f>
        <v/>
      </c>
      <c r="G416" t="str">
        <f>"0.003"</f>
        <v>0.003</v>
      </c>
      <c r="H416" t="str">
        <f>"1.03?"</f>
        <v>1.03?</v>
      </c>
      <c r="I416" t="str">
        <f>"  77             :    15  3d6.(3H).4s.4p.(3P*)  1H*  "</f>
        <v xml:space="preserve">  77             :    15  3d6.(3H).4s.4p.(3P*)  1H*  </v>
      </c>
      <c r="J416" t="str">
        <f>""</f>
        <v/>
      </c>
    </row>
    <row r="417" spans="1:10">
      <c r="A417" s="1" t="str">
        <f t="shared" ref="A417:A423" si="48">"3d7.(4F).5p"</f>
        <v>3d7.(4F).5p</v>
      </c>
      <c r="B417" t="str">
        <f>"3F*"</f>
        <v>3F*</v>
      </c>
      <c r="C417" t="str">
        <f>"4"</f>
        <v>4</v>
      </c>
      <c r="D417" t="str">
        <f>""</f>
        <v/>
      </c>
      <c r="E417" t="str">
        <f>"53328.835"</f>
        <v>53328.835</v>
      </c>
      <c r="F417" t="str">
        <f>""</f>
        <v/>
      </c>
      <c r="G417" t="str">
        <f>"0.001"</f>
        <v>0.001</v>
      </c>
      <c r="H417" t="str">
        <f>""</f>
        <v/>
      </c>
      <c r="I417" t="str">
        <f t="shared" ref="I417:I424" si="49">"                                                     "</f>
        <v xml:space="preserve">                                                     </v>
      </c>
      <c r="J417" t="str">
        <f>""</f>
        <v/>
      </c>
    </row>
    <row r="418" spans="1:10">
      <c r="A418" s="1" t="str">
        <f t="shared" si="48"/>
        <v>3d7.(4F).5p</v>
      </c>
      <c r="B418" t="str">
        <f>"3F*"</f>
        <v>3F*</v>
      </c>
      <c r="C418" t="str">
        <f>"3"</f>
        <v>3</v>
      </c>
      <c r="D418" t="str">
        <f>""</f>
        <v/>
      </c>
      <c r="E418" t="str">
        <f>"54289.034"</f>
        <v>54289.034</v>
      </c>
      <c r="F418" t="str">
        <f>""</f>
        <v/>
      </c>
      <c r="G418" t="str">
        <f>"0.001"</f>
        <v>0.001</v>
      </c>
      <c r="H418" t="str">
        <f>""</f>
        <v/>
      </c>
      <c r="I418" t="str">
        <f t="shared" si="49"/>
        <v xml:space="preserve">                                                     </v>
      </c>
      <c r="J418" t="str">
        <f>""</f>
        <v/>
      </c>
    </row>
    <row r="419" spans="1:10">
      <c r="A419" s="1" t="str">
        <f t="shared" si="48"/>
        <v>3d7.(4F).5p</v>
      </c>
      <c r="B419" t="str">
        <f>"3F*"</f>
        <v>3F*</v>
      </c>
      <c r="C419" t="str">
        <f>"2"</f>
        <v>2</v>
      </c>
      <c r="D419" t="str">
        <f>""</f>
        <v/>
      </c>
      <c r="E419" t="str">
        <f>"54706.387"</f>
        <v>54706.387</v>
      </c>
      <c r="F419" t="str">
        <f>""</f>
        <v/>
      </c>
      <c r="G419" t="str">
        <f>"0.002"</f>
        <v>0.002</v>
      </c>
      <c r="H419" t="str">
        <f>""</f>
        <v/>
      </c>
      <c r="I419" t="str">
        <f t="shared" si="49"/>
        <v xml:space="preserve">                                                     </v>
      </c>
      <c r="J419" t="str">
        <f>""</f>
        <v/>
      </c>
    </row>
    <row r="420" spans="1:10">
      <c r="A420" s="1" t="str">
        <f t="shared" si="48"/>
        <v>3d7.(4F).5p</v>
      </c>
      <c r="B420" t="str">
        <f>"5D*"</f>
        <v>5D*</v>
      </c>
      <c r="C420" t="str">
        <f>"4"</f>
        <v>4</v>
      </c>
      <c r="D420" t="str">
        <f>""</f>
        <v/>
      </c>
      <c r="E420" t="str">
        <f>"53610.412"</f>
        <v>53610.412</v>
      </c>
      <c r="F420" t="str">
        <f>""</f>
        <v/>
      </c>
      <c r="G420" t="str">
        <f>"0.001"</f>
        <v>0.001</v>
      </c>
      <c r="H420" t="str">
        <f>""</f>
        <v/>
      </c>
      <c r="I420" t="str">
        <f t="shared" si="49"/>
        <v xml:space="preserve">                                                     </v>
      </c>
      <c r="J420" t="str">
        <f>""</f>
        <v/>
      </c>
    </row>
    <row r="421" spans="1:10">
      <c r="A421" s="1" t="str">
        <f t="shared" si="48"/>
        <v>3d7.(4F).5p</v>
      </c>
      <c r="B421" t="str">
        <f>"5D*"</f>
        <v>5D*</v>
      </c>
      <c r="C421" t="str">
        <f>"3"</f>
        <v>3</v>
      </c>
      <c r="D421" t="str">
        <f>""</f>
        <v/>
      </c>
      <c r="E421" t="str">
        <f>"53784.750"</f>
        <v>53784.750</v>
      </c>
      <c r="F421" t="str">
        <f>""</f>
        <v/>
      </c>
      <c r="G421" t="str">
        <f>"0.002"</f>
        <v>0.002</v>
      </c>
      <c r="H421" t="str">
        <f>""</f>
        <v/>
      </c>
      <c r="I421" t="str">
        <f t="shared" si="49"/>
        <v xml:space="preserve">                                                     </v>
      </c>
      <c r="J421" t="str">
        <f>""</f>
        <v/>
      </c>
    </row>
    <row r="422" spans="1:10">
      <c r="A422" s="1" t="str">
        <f t="shared" si="48"/>
        <v>3d7.(4F).5p</v>
      </c>
      <c r="B422" t="str">
        <f>"5D*"</f>
        <v>5D*</v>
      </c>
      <c r="C422" t="str">
        <f>"2"</f>
        <v>2</v>
      </c>
      <c r="D422" t="str">
        <f>""</f>
        <v/>
      </c>
      <c r="E422" t="str">
        <f>"54530.653"</f>
        <v>54530.653</v>
      </c>
      <c r="F422" t="str">
        <f>""</f>
        <v/>
      </c>
      <c r="G422" t="str">
        <f>"0.002"</f>
        <v>0.002</v>
      </c>
      <c r="H422" t="str">
        <f>""</f>
        <v/>
      </c>
      <c r="I422" t="str">
        <f t="shared" si="49"/>
        <v xml:space="preserve">                                                     </v>
      </c>
      <c r="J422" t="str">
        <f>""</f>
        <v/>
      </c>
    </row>
    <row r="423" spans="1:10">
      <c r="A423" s="1" t="str">
        <f t="shared" si="48"/>
        <v>3d7.(4F).5p</v>
      </c>
      <c r="B423" t="str">
        <f>"5D*"</f>
        <v>5D*</v>
      </c>
      <c r="C423" t="str">
        <f>"1"</f>
        <v>1</v>
      </c>
      <c r="D423" t="str">
        <f>""</f>
        <v/>
      </c>
      <c r="E423" t="str">
        <f>"54603.140"</f>
        <v>54603.140</v>
      </c>
      <c r="F423" t="str">
        <f>""</f>
        <v/>
      </c>
      <c r="G423" t="str">
        <f>"0.001"</f>
        <v>0.001</v>
      </c>
      <c r="H423" t="str">
        <f>""</f>
        <v/>
      </c>
      <c r="I423" t="str">
        <f t="shared" si="49"/>
        <v xml:space="preserve">                                                     </v>
      </c>
      <c r="J423" t="str">
        <f>""</f>
        <v/>
      </c>
    </row>
    <row r="424" spans="1:10">
      <c r="A424" s="1" t="str">
        <f>"3d6.(3D).4s.4p.(3P*)"</f>
        <v>3d6.(3D).4s.4p.(3P*)</v>
      </c>
      <c r="B424" t="str">
        <f>"5F*"</f>
        <v>5F*</v>
      </c>
      <c r="C424" t="str">
        <f>"1"</f>
        <v>1</v>
      </c>
      <c r="D424" t="str">
        <f>""</f>
        <v/>
      </c>
      <c r="E424" t="str">
        <f>"53696.867"</f>
        <v>53696.867</v>
      </c>
      <c r="F424" t="str">
        <f>""</f>
        <v/>
      </c>
      <c r="G424" t="str">
        <f>"0.004"</f>
        <v>0.004</v>
      </c>
      <c r="H424" t="str">
        <f>""</f>
        <v/>
      </c>
      <c r="I424" t="str">
        <f t="shared" si="49"/>
        <v xml:space="preserve">                                                     </v>
      </c>
      <c r="J424" t="str">
        <f>""</f>
        <v/>
      </c>
    </row>
    <row r="425" spans="1:10">
      <c r="A425" s="1" t="str">
        <f>"3d6.(3D).4s.4p.(3P*)"</f>
        <v>3d6.(3D).4s.4p.(3P*)</v>
      </c>
      <c r="B425" t="str">
        <f>"5F*"</f>
        <v>5F*</v>
      </c>
      <c r="C425" t="str">
        <f>"2"</f>
        <v>2</v>
      </c>
      <c r="D425" t="str">
        <f>""</f>
        <v/>
      </c>
      <c r="E425" t="str">
        <f>"53723.079"</f>
        <v>53723.079</v>
      </c>
      <c r="F425" t="str">
        <f>""</f>
        <v/>
      </c>
      <c r="G425" t="str">
        <f>"0.002"</f>
        <v>0.002</v>
      </c>
      <c r="H425" t="str">
        <f>""</f>
        <v/>
      </c>
      <c r="I425" t="str">
        <f>"  84             :    11  3d6.(3G).4s.4p.(3P*)  5F*  "</f>
        <v xml:space="preserve">  84             :    11  3d6.(3G).4s.4p.(3P*)  5F*  </v>
      </c>
      <c r="J425" t="str">
        <f>""</f>
        <v/>
      </c>
    </row>
    <row r="426" spans="1:10">
      <c r="A426" s="1" t="str">
        <f>"3d6.(3D).4s.4p.(3P*)"</f>
        <v>3d6.(3D).4s.4p.(3P*)</v>
      </c>
      <c r="B426" t="str">
        <f>"5F*"</f>
        <v>5F*</v>
      </c>
      <c r="C426" t="str">
        <f>"3"</f>
        <v>3</v>
      </c>
      <c r="D426" t="str">
        <f>""</f>
        <v/>
      </c>
      <c r="E426" t="str">
        <f>"53733.594"</f>
        <v>53733.594</v>
      </c>
      <c r="F426" t="str">
        <f>""</f>
        <v/>
      </c>
      <c r="G426" t="str">
        <f>"0.002"</f>
        <v>0.002</v>
      </c>
      <c r="H426" t="str">
        <f>""</f>
        <v/>
      </c>
      <c r="I426" t="str">
        <f>"  84             :    10  3d6.(3G).4s.4p.(3P*)  5F*  "</f>
        <v xml:space="preserve">  84             :    10  3d6.(3G).4s.4p.(3P*)  5F*  </v>
      </c>
      <c r="J426" t="str">
        <f>""</f>
        <v/>
      </c>
    </row>
    <row r="427" spans="1:10">
      <c r="A427" s="1" t="str">
        <f>"3d6.(3D).4s.4p.(3P*)"</f>
        <v>3d6.(3D).4s.4p.(3P*)</v>
      </c>
      <c r="B427" t="str">
        <f>"5F*"</f>
        <v>5F*</v>
      </c>
      <c r="C427" t="str">
        <f>"4"</f>
        <v>4</v>
      </c>
      <c r="D427" t="str">
        <f>""</f>
        <v/>
      </c>
      <c r="E427" t="str">
        <f>"53881.806"</f>
        <v>53881.806</v>
      </c>
      <c r="F427" t="str">
        <f>""</f>
        <v/>
      </c>
      <c r="G427" t="str">
        <f>"0.002"</f>
        <v>0.002</v>
      </c>
      <c r="H427" t="str">
        <f>""</f>
        <v/>
      </c>
      <c r="I427" t="str">
        <f>"                                                     "</f>
        <v xml:space="preserve">                                                     </v>
      </c>
      <c r="J427" t="str">
        <f>""</f>
        <v/>
      </c>
    </row>
    <row r="428" spans="1:10">
      <c r="A428" s="1" t="str">
        <f>"3d6.(3D).4s.4p.(3P*)"</f>
        <v>3d6.(3D).4s.4p.(3P*)</v>
      </c>
      <c r="B428" t="str">
        <f>"5F*"</f>
        <v>5F*</v>
      </c>
      <c r="C428" t="str">
        <f>"5"</f>
        <v>5</v>
      </c>
      <c r="D428" t="str">
        <f>""</f>
        <v/>
      </c>
      <c r="E428" t="str">
        <f>"54013.752"</f>
        <v>54013.752</v>
      </c>
      <c r="F428" t="str">
        <f>""</f>
        <v/>
      </c>
      <c r="G428" t="str">
        <f>"0.002"</f>
        <v>0.002</v>
      </c>
      <c r="H428" t="str">
        <f>"1.356"</f>
        <v>1.356</v>
      </c>
      <c r="I428" t="str">
        <f>"  88             :     8  3d6.(3G).4s.4p.(3P*)  5F*  "</f>
        <v xml:space="preserve">  88             :     8  3d6.(3G).4s.4p.(3P*)  5F*  </v>
      </c>
      <c r="J428" t="str">
        <f>""</f>
        <v/>
      </c>
    </row>
    <row r="429" spans="1:10">
      <c r="A429" s="1" t="str">
        <f t="shared" ref="A429:A434" si="50">"3d7.(4F).4d"</f>
        <v>3d7.(4F).4d</v>
      </c>
      <c r="B429" t="str">
        <f>"e 3G"</f>
        <v>e 3G</v>
      </c>
      <c r="C429" t="str">
        <f>"5"</f>
        <v>5</v>
      </c>
      <c r="D429" t="str">
        <f>""</f>
        <v/>
      </c>
      <c r="E429" t="str">
        <f>"53739.438"</f>
        <v>53739.438</v>
      </c>
      <c r="F429" t="str">
        <f>""</f>
        <v/>
      </c>
      <c r="G429" t="str">
        <f t="shared" ref="G429:G434" si="51">"0.001"</f>
        <v>0.001</v>
      </c>
      <c r="H429" t="str">
        <f>"1.248"</f>
        <v>1.248</v>
      </c>
      <c r="I429" t="str">
        <f t="shared" ref="I429:I434" si="52">"                                                     "</f>
        <v xml:space="preserve">                                                     </v>
      </c>
      <c r="J429" t="str">
        <f>""</f>
        <v/>
      </c>
    </row>
    <row r="430" spans="1:10">
      <c r="A430" s="1" t="str">
        <f t="shared" si="50"/>
        <v>3d7.(4F).4d</v>
      </c>
      <c r="B430" t="str">
        <f>"e 3G"</f>
        <v>e 3G</v>
      </c>
      <c r="C430" t="str">
        <f>"4"</f>
        <v>4</v>
      </c>
      <c r="D430" t="str">
        <f>""</f>
        <v/>
      </c>
      <c r="E430" t="str">
        <f>"54066.518"</f>
        <v>54066.518</v>
      </c>
      <c r="F430" t="str">
        <f>""</f>
        <v/>
      </c>
      <c r="G430" t="str">
        <f t="shared" si="51"/>
        <v>0.001</v>
      </c>
      <c r="H430" t="str">
        <f>"1.096"</f>
        <v>1.096</v>
      </c>
      <c r="I430" t="str">
        <f t="shared" si="52"/>
        <v xml:space="preserve">                                                     </v>
      </c>
      <c r="J430" t="str">
        <f>""</f>
        <v/>
      </c>
    </row>
    <row r="431" spans="1:10">
      <c r="A431" s="1" t="str">
        <f t="shared" si="50"/>
        <v>3d7.(4F).4d</v>
      </c>
      <c r="B431" t="str">
        <f>"e 3G"</f>
        <v>e 3G</v>
      </c>
      <c r="C431" t="str">
        <f>"3"</f>
        <v>3</v>
      </c>
      <c r="D431" t="str">
        <f>""</f>
        <v/>
      </c>
      <c r="E431" t="str">
        <f>"54379.384"</f>
        <v>54379.384</v>
      </c>
      <c r="F431" t="str">
        <f>""</f>
        <v/>
      </c>
      <c r="G431" t="str">
        <f t="shared" si="51"/>
        <v>0.001</v>
      </c>
      <c r="H431" t="str">
        <f>"0.842"</f>
        <v>0.842</v>
      </c>
      <c r="I431" t="str">
        <f t="shared" si="52"/>
        <v xml:space="preserve">                                                     </v>
      </c>
      <c r="J431" t="str">
        <f>""</f>
        <v/>
      </c>
    </row>
    <row r="432" spans="1:10">
      <c r="A432" s="1" t="str">
        <f t="shared" si="50"/>
        <v>3d7.(4F).4d</v>
      </c>
      <c r="B432" t="str">
        <f>"f 3D"</f>
        <v>f 3D</v>
      </c>
      <c r="C432" t="str">
        <f>"3"</f>
        <v>3</v>
      </c>
      <c r="D432" t="str">
        <f>""</f>
        <v/>
      </c>
      <c r="E432" t="str">
        <f>"53747.500"</f>
        <v>53747.500</v>
      </c>
      <c r="F432" t="str">
        <f>""</f>
        <v/>
      </c>
      <c r="G432" t="str">
        <f t="shared" si="51"/>
        <v>0.001</v>
      </c>
      <c r="H432" t="str">
        <f>"1.258"</f>
        <v>1.258</v>
      </c>
      <c r="I432" t="str">
        <f t="shared" si="52"/>
        <v xml:space="preserve">                                                     </v>
      </c>
      <c r="J432" t="str">
        <f>""</f>
        <v/>
      </c>
    </row>
    <row r="433" spans="1:10">
      <c r="A433" s="1" t="str">
        <f t="shared" si="50"/>
        <v>3d7.(4F).4d</v>
      </c>
      <c r="B433" t="str">
        <f>"f 3D"</f>
        <v>f 3D</v>
      </c>
      <c r="C433" t="str">
        <f>"2"</f>
        <v>2</v>
      </c>
      <c r="D433" t="str">
        <f>""</f>
        <v/>
      </c>
      <c r="E433" t="str">
        <f>"54066.773"</f>
        <v>54066.773</v>
      </c>
      <c r="F433" t="str">
        <f>""</f>
        <v/>
      </c>
      <c r="G433" t="str">
        <f t="shared" si="51"/>
        <v>0.001</v>
      </c>
      <c r="H433" t="str">
        <f>""</f>
        <v/>
      </c>
      <c r="I433" t="str">
        <f t="shared" si="52"/>
        <v xml:space="preserve">                                                     </v>
      </c>
      <c r="J433" t="str">
        <f>""</f>
        <v/>
      </c>
    </row>
    <row r="434" spans="1:10">
      <c r="A434" s="1" t="str">
        <f t="shared" si="50"/>
        <v>3d7.(4F).4d</v>
      </c>
      <c r="B434" t="str">
        <f>"f 3D"</f>
        <v>f 3D</v>
      </c>
      <c r="C434" t="str">
        <f>"1"</f>
        <v>1</v>
      </c>
      <c r="D434" t="str">
        <f>""</f>
        <v/>
      </c>
      <c r="E434" t="str">
        <f>"54449.347"</f>
        <v>54449.347</v>
      </c>
      <c r="F434" t="str">
        <f>""</f>
        <v/>
      </c>
      <c r="G434" t="str">
        <f t="shared" si="51"/>
        <v>0.001</v>
      </c>
      <c r="H434" t="str">
        <f>""</f>
        <v/>
      </c>
      <c r="I434" t="str">
        <f t="shared" si="52"/>
        <v xml:space="preserve">                                                     </v>
      </c>
      <c r="J434" t="str">
        <f>""</f>
        <v/>
      </c>
    </row>
    <row r="435" spans="1:10">
      <c r="A435" s="1" t="str">
        <f>"3d7.(2D2).4p"</f>
        <v>3d7.(2D2).4p</v>
      </c>
      <c r="B435" t="str">
        <f>"x 1F*"</f>
        <v>x 1F*</v>
      </c>
      <c r="C435" t="str">
        <f>"3"</f>
        <v>3</v>
      </c>
      <c r="D435" t="str">
        <f>""</f>
        <v/>
      </c>
      <c r="E435" t="str">
        <f>"53763.280"</f>
        <v>53763.280</v>
      </c>
      <c r="F435" t="str">
        <f>""</f>
        <v/>
      </c>
      <c r="G435" t="str">
        <f>"0.002"</f>
        <v>0.002</v>
      </c>
      <c r="H435" t="str">
        <f>"1.079"</f>
        <v>1.079</v>
      </c>
      <c r="I435" t="str">
        <f>"  30             :    13  3d7.(2G).4p           1F*  "</f>
        <v xml:space="preserve">  30             :    13  3d7.(2G).4p           1F*  </v>
      </c>
      <c r="J435" t="str">
        <f>""</f>
        <v/>
      </c>
    </row>
    <row r="436" spans="1:10">
      <c r="A436" s="1" t="str">
        <f>"3d6.(5D).4s (6D).6s"</f>
        <v>3d6.(5D).4s (6D).6s</v>
      </c>
      <c r="B436" t="str">
        <f>"g 7D"</f>
        <v>g 7D</v>
      </c>
      <c r="C436" t="str">
        <f>"5"</f>
        <v>5</v>
      </c>
      <c r="D436" t="str">
        <f>""</f>
        <v/>
      </c>
      <c r="E436" t="str">
        <f>"53800.859"</f>
        <v>53800.859</v>
      </c>
      <c r="F436" t="str">
        <f>""</f>
        <v/>
      </c>
      <c r="G436" t="str">
        <f>"0.001"</f>
        <v>0.001</v>
      </c>
      <c r="H436" t="str">
        <f>"1.586"</f>
        <v>1.586</v>
      </c>
      <c r="I436" t="str">
        <f>"                                                     "</f>
        <v xml:space="preserve">                                                     </v>
      </c>
      <c r="J436" t="str">
        <f>""</f>
        <v/>
      </c>
    </row>
    <row r="437" spans="1:10">
      <c r="A437" s="1" t="str">
        <f>"3d6.(5D).4s (6D).6s"</f>
        <v>3d6.(5D).4s (6D).6s</v>
      </c>
      <c r="B437" t="str">
        <f>"g 7D"</f>
        <v>g 7D</v>
      </c>
      <c r="C437" t="str">
        <f>"4"</f>
        <v>4</v>
      </c>
      <c r="D437" t="str">
        <f>""</f>
        <v/>
      </c>
      <c r="E437" t="str">
        <f>"54124.744"</f>
        <v>54124.744</v>
      </c>
      <c r="F437" t="str">
        <f>""</f>
        <v/>
      </c>
      <c r="G437" t="str">
        <f>"0.001"</f>
        <v>0.001</v>
      </c>
      <c r="H437" t="str">
        <f>"1.65?"</f>
        <v>1.65?</v>
      </c>
      <c r="I437" t="str">
        <f>"                                                     "</f>
        <v xml:space="preserve">                                                     </v>
      </c>
      <c r="J437" t="str">
        <f>""</f>
        <v/>
      </c>
    </row>
    <row r="438" spans="1:10">
      <c r="A438" s="1" t="str">
        <f>"3d6.(5D).4s (6D).6s"</f>
        <v>3d6.(5D).4s (6D).6s</v>
      </c>
      <c r="B438" t="str">
        <f>"g 7D"</f>
        <v>g 7D</v>
      </c>
      <c r="C438" t="str">
        <f>"3"</f>
        <v>3</v>
      </c>
      <c r="D438" t="str">
        <f>""</f>
        <v/>
      </c>
      <c r="E438" t="str">
        <f>"54404.779"</f>
        <v>54404.779</v>
      </c>
      <c r="F438" t="str">
        <f>""</f>
        <v/>
      </c>
      <c r="G438" t="str">
        <f>"0.002"</f>
        <v>0.002</v>
      </c>
      <c r="H438" t="str">
        <f>""</f>
        <v/>
      </c>
      <c r="I438" t="str">
        <f>"                                                     "</f>
        <v xml:space="preserve">                                                     </v>
      </c>
      <c r="J438" t="str">
        <f>""</f>
        <v/>
      </c>
    </row>
    <row r="439" spans="1:10">
      <c r="A439" s="1" t="str">
        <f>"3d6.(5D).4s (6D).6s"</f>
        <v>3d6.(5D).4s (6D).6s</v>
      </c>
      <c r="B439" t="str">
        <f>"g 7D"</f>
        <v>g 7D</v>
      </c>
      <c r="C439" t="str">
        <f>"2"</f>
        <v>2</v>
      </c>
      <c r="D439" t="str">
        <f>""</f>
        <v/>
      </c>
      <c r="E439" t="str">
        <f>"54611.710"</f>
        <v>54611.710</v>
      </c>
      <c r="F439" t="str">
        <f>""</f>
        <v/>
      </c>
      <c r="G439" t="str">
        <f>"0.002"</f>
        <v>0.002</v>
      </c>
      <c r="H439" t="str">
        <f>""</f>
        <v/>
      </c>
      <c r="I439" t="str">
        <f>"                                                     "</f>
        <v xml:space="preserve">                                                     </v>
      </c>
      <c r="J439" t="str">
        <f>""</f>
        <v/>
      </c>
    </row>
    <row r="440" spans="1:10">
      <c r="A440" s="1" t="str">
        <f>"3d6.(5D).4s (6D).6s"</f>
        <v>3d6.(5D).4s (6D).6s</v>
      </c>
      <c r="B440" t="str">
        <f>"g 7D"</f>
        <v>g 7D</v>
      </c>
      <c r="C440" t="str">
        <f>"1"</f>
        <v>1</v>
      </c>
      <c r="D440" t="str">
        <f>""</f>
        <v/>
      </c>
      <c r="E440" t="str">
        <f>"54747.598"</f>
        <v>54747.598</v>
      </c>
      <c r="F440" t="str">
        <f>""</f>
        <v/>
      </c>
      <c r="G440" t="str">
        <f>"0.001"</f>
        <v>0.001</v>
      </c>
      <c r="H440" t="str">
        <f>""</f>
        <v/>
      </c>
      <c r="I440" t="str">
        <f>"                                                     "</f>
        <v xml:space="preserve">                                                     </v>
      </c>
      <c r="J440" t="str">
        <f>""</f>
        <v/>
      </c>
    </row>
    <row r="441" spans="1:10">
      <c r="A441" s="1" t="str">
        <f>"3d7.(2P).4p"</f>
        <v>3d7.(2P).4p</v>
      </c>
      <c r="B441" t="str">
        <f>"x 3S*"</f>
        <v>x 3S*</v>
      </c>
      <c r="C441" t="str">
        <f>"1"</f>
        <v>1</v>
      </c>
      <c r="D441" t="str">
        <f>""</f>
        <v/>
      </c>
      <c r="E441" t="str">
        <f>"53808.356"</f>
        <v>53808.356</v>
      </c>
      <c r="F441" t="str">
        <f>""</f>
        <v/>
      </c>
      <c r="G441" t="str">
        <f>"0.002"</f>
        <v>0.002</v>
      </c>
      <c r="H441" t="str">
        <f>"1.418"</f>
        <v>1.418</v>
      </c>
      <c r="I441" t="str">
        <f>"  30             :    21  3d6.(3D).4s.4p.(3P*)  5P*  "</f>
        <v xml:space="preserve">  30             :    21  3d6.(3D).4s.4p.(3P*)  5P*  </v>
      </c>
      <c r="J441" t="str">
        <f>""</f>
        <v/>
      </c>
    </row>
    <row r="442" spans="1:10">
      <c r="A442" s="1" t="str">
        <f>"3d7.(4F).5p"</f>
        <v>3d7.(4F).5p</v>
      </c>
      <c r="B442" t="str">
        <f>"3D*"</f>
        <v>3D*</v>
      </c>
      <c r="C442" t="str">
        <f>"3"</f>
        <v>3</v>
      </c>
      <c r="D442" t="str">
        <f>""</f>
        <v/>
      </c>
      <c r="E442" t="str">
        <f>"53837.851"</f>
        <v>53837.851</v>
      </c>
      <c r="F442" t="str">
        <f>""</f>
        <v/>
      </c>
      <c r="G442" t="str">
        <f>"0.001"</f>
        <v>0.001</v>
      </c>
      <c r="H442" t="str">
        <f>""</f>
        <v/>
      </c>
      <c r="I442" t="str">
        <f t="shared" ref="I442:I447" si="53">"                                                     "</f>
        <v xml:space="preserve">                                                     </v>
      </c>
      <c r="J442" t="str">
        <f>""</f>
        <v/>
      </c>
    </row>
    <row r="443" spans="1:10">
      <c r="A443" s="1" t="str">
        <f>"3d7.(4F).5p"</f>
        <v>3d7.(4F).5p</v>
      </c>
      <c r="B443" t="str">
        <f>"3D*"</f>
        <v>3D*</v>
      </c>
      <c r="C443" t="str">
        <f>"2"</f>
        <v>2</v>
      </c>
      <c r="D443" t="str">
        <f>""</f>
        <v/>
      </c>
      <c r="E443" t="str">
        <f>"54342.779"</f>
        <v>54342.779</v>
      </c>
      <c r="F443" t="str">
        <f>""</f>
        <v/>
      </c>
      <c r="G443" t="str">
        <f>"0.002"</f>
        <v>0.002</v>
      </c>
      <c r="H443" t="str">
        <f>""</f>
        <v/>
      </c>
      <c r="I443" t="str">
        <f t="shared" si="53"/>
        <v xml:space="preserve">                                                     </v>
      </c>
      <c r="J443" t="str">
        <f>""</f>
        <v/>
      </c>
    </row>
    <row r="444" spans="1:10">
      <c r="A444" s="1" t="str">
        <f>"3d7.(4F).5p"</f>
        <v>3d7.(4F).5p</v>
      </c>
      <c r="B444" t="str">
        <f>"3D*"</f>
        <v>3D*</v>
      </c>
      <c r="C444" t="str">
        <f>"1"</f>
        <v>1</v>
      </c>
      <c r="D444" t="str">
        <f>""</f>
        <v/>
      </c>
      <c r="E444" t="str">
        <f>"54807.250"</f>
        <v>54807.250</v>
      </c>
      <c r="F444" t="str">
        <f>""</f>
        <v/>
      </c>
      <c r="G444" t="str">
        <f>"0.002"</f>
        <v>0.002</v>
      </c>
      <c r="H444" t="str">
        <f>""</f>
        <v/>
      </c>
      <c r="I444" t="str">
        <f t="shared" si="53"/>
        <v xml:space="preserve">                                                     </v>
      </c>
      <c r="J444" t="str">
        <f>""</f>
        <v/>
      </c>
    </row>
    <row r="445" spans="1:10">
      <c r="A445" s="1" t="str">
        <f>"3d7.(4F).4d"</f>
        <v>3d7.(4F).4d</v>
      </c>
      <c r="B445" t="str">
        <f>"e 3H"</f>
        <v>e 3H</v>
      </c>
      <c r="C445" t="str">
        <f>"6"</f>
        <v>6</v>
      </c>
      <c r="D445" t="str">
        <f>""</f>
        <v/>
      </c>
      <c r="E445" t="str">
        <f>"53840.620"</f>
        <v>53840.620</v>
      </c>
      <c r="F445" t="str">
        <f>""</f>
        <v/>
      </c>
      <c r="G445" t="str">
        <f>"0.001"</f>
        <v>0.001</v>
      </c>
      <c r="H445" t="str">
        <f>"1.225"</f>
        <v>1.225</v>
      </c>
      <c r="I445" t="str">
        <f t="shared" si="53"/>
        <v xml:space="preserve">                                                     </v>
      </c>
      <c r="J445" t="str">
        <f>""</f>
        <v/>
      </c>
    </row>
    <row r="446" spans="1:10">
      <c r="A446" s="1" t="str">
        <f>"3d7.(4F).4d"</f>
        <v>3d7.(4F).4d</v>
      </c>
      <c r="B446" t="str">
        <f>"e 3H"</f>
        <v>e 3H</v>
      </c>
      <c r="C446" t="str">
        <f>"5"</f>
        <v>5</v>
      </c>
      <c r="D446" t="str">
        <f>""</f>
        <v/>
      </c>
      <c r="E446" t="str">
        <f>"54266.716"</f>
        <v>54266.716</v>
      </c>
      <c r="F446" t="str">
        <f>""</f>
        <v/>
      </c>
      <c r="G446" t="str">
        <f>"0.001"</f>
        <v>0.001</v>
      </c>
      <c r="H446" t="str">
        <f>"1.109"</f>
        <v>1.109</v>
      </c>
      <c r="I446" t="str">
        <f t="shared" si="53"/>
        <v xml:space="preserve">                                                     </v>
      </c>
      <c r="J446" t="str">
        <f>""</f>
        <v/>
      </c>
    </row>
    <row r="447" spans="1:10">
      <c r="A447" s="1" t="str">
        <f>"3d7.(4F).4d"</f>
        <v>3d7.(4F).4d</v>
      </c>
      <c r="B447" t="str">
        <f>"e 3H"</f>
        <v>e 3H</v>
      </c>
      <c r="C447" t="str">
        <f>"4"</f>
        <v>4</v>
      </c>
      <c r="D447" t="str">
        <f>""</f>
        <v/>
      </c>
      <c r="E447" t="str">
        <f>"54555.418"</f>
        <v>54555.418</v>
      </c>
      <c r="F447" t="str">
        <f>""</f>
        <v/>
      </c>
      <c r="G447" t="str">
        <f>"0.001"</f>
        <v>0.001</v>
      </c>
      <c r="H447" t="str">
        <f>"0.871"</f>
        <v>0.871</v>
      </c>
      <c r="I447" t="str">
        <f t="shared" si="53"/>
        <v xml:space="preserve">                                                     </v>
      </c>
      <c r="J447" t="str">
        <f>""</f>
        <v/>
      </c>
    </row>
    <row r="448" spans="1:10">
      <c r="A448" s="1" t="str">
        <f>"3d6.(3D).4s.4p.(3P*)"</f>
        <v>3d6.(3D).4s.4p.(3P*)</v>
      </c>
      <c r="B448" t="str">
        <f>"5D*"</f>
        <v>5D*</v>
      </c>
      <c r="C448" t="str">
        <f>"3"</f>
        <v>3</v>
      </c>
      <c r="D448" t="str">
        <f>""</f>
        <v/>
      </c>
      <c r="E448" t="str">
        <f>"53891.526"</f>
        <v>53891.526</v>
      </c>
      <c r="F448" t="str">
        <f>""</f>
        <v/>
      </c>
      <c r="G448" t="str">
        <f>"0.001"</f>
        <v>0.001</v>
      </c>
      <c r="H448" t="str">
        <f>"1.476"</f>
        <v>1.476</v>
      </c>
      <c r="I448" t="str">
        <f>"  74             :    13  3d6.(3D).4s.4p.(3P*)  5P*  "</f>
        <v xml:space="preserve">  74             :    13  3d6.(3D).4s.4p.(3P*)  5P*  </v>
      </c>
      <c r="J448" t="str">
        <f>""</f>
        <v/>
      </c>
    </row>
    <row r="449" spans="1:10">
      <c r="A449" s="1" t="str">
        <f>"3d6.(3D).4s.4p.(3P*)"</f>
        <v>3d6.(3D).4s.4p.(3P*)</v>
      </c>
      <c r="B449" t="str">
        <f>"5D*"</f>
        <v>5D*</v>
      </c>
      <c r="C449" t="str">
        <f>"2"</f>
        <v>2</v>
      </c>
      <c r="D449" t="str">
        <f>""</f>
        <v/>
      </c>
      <c r="E449" t="str">
        <f>"53913.020"</f>
        <v>53913.020</v>
      </c>
      <c r="F449" t="str">
        <f>""</f>
        <v/>
      </c>
      <c r="G449" t="str">
        <f>"0.002"</f>
        <v>0.002</v>
      </c>
      <c r="H449" t="str">
        <f>""</f>
        <v/>
      </c>
      <c r="I449" t="str">
        <f>"                                                     "</f>
        <v xml:space="preserve">                                                     </v>
      </c>
      <c r="J449" t="str">
        <f>""</f>
        <v/>
      </c>
    </row>
    <row r="450" spans="1:10">
      <c r="A450" s="1" t="str">
        <f>"3d6.(3D).4s.4p.(3P*)"</f>
        <v>3d6.(3D).4s.4p.(3P*)</v>
      </c>
      <c r="B450" t="str">
        <f>"5D*"</f>
        <v>5D*</v>
      </c>
      <c r="C450" t="str">
        <f>"1"</f>
        <v>1</v>
      </c>
      <c r="D450" t="str">
        <f>""</f>
        <v/>
      </c>
      <c r="E450" t="str">
        <f>"53975.744"</f>
        <v>53975.744</v>
      </c>
      <c r="F450" t="str">
        <f>""</f>
        <v/>
      </c>
      <c r="G450" t="str">
        <f>"0.012"</f>
        <v>0.012</v>
      </c>
      <c r="H450" t="str">
        <f>""</f>
        <v/>
      </c>
      <c r="I450" t="str">
        <f>"  72             :    14  3d6.(3D).4s.4p.(3P*)  5P*  "</f>
        <v xml:space="preserve">  72             :    14  3d6.(3D).4s.4p.(3P*)  5P*  </v>
      </c>
      <c r="J450" t="str">
        <f>""</f>
        <v/>
      </c>
    </row>
    <row r="451" spans="1:10">
      <c r="A451" s="1" t="str">
        <f>"3d6.(3D).4s.4p.(3P*)"</f>
        <v>3d6.(3D).4s.4p.(3P*)</v>
      </c>
      <c r="B451" t="str">
        <f>"5D*"</f>
        <v>5D*</v>
      </c>
      <c r="C451" t="str">
        <f>"4"</f>
        <v>4</v>
      </c>
      <c r="D451" t="str">
        <f>""</f>
        <v/>
      </c>
      <c r="E451" t="str">
        <f>"54301.340"</f>
        <v>54301.340</v>
      </c>
      <c r="F451" t="str">
        <f>""</f>
        <v/>
      </c>
      <c r="G451" t="str">
        <f>"0.001"</f>
        <v>0.001</v>
      </c>
      <c r="H451" t="str">
        <f>""</f>
        <v/>
      </c>
      <c r="I451" t="str">
        <f>"  89             :     6  3d6.(3F1).4s.4p.(3P*) 5D*  "</f>
        <v xml:space="preserve">  89             :     6  3d6.(3F1).4s.4p.(3P*) 5D*  </v>
      </c>
      <c r="J451" t="str">
        <f>""</f>
        <v/>
      </c>
    </row>
    <row r="452" spans="1:10">
      <c r="A452" s="1" t="str">
        <f>"3d6.(3G).4s.4p.(3P*)"</f>
        <v>3d6.(3G).4s.4p.(3P*)</v>
      </c>
      <c r="B452" t="str">
        <f>"t 3G*"</f>
        <v>t 3G*</v>
      </c>
      <c r="C452" t="str">
        <f>"5"</f>
        <v>5</v>
      </c>
      <c r="D452" t="str">
        <f>""</f>
        <v/>
      </c>
      <c r="E452" t="str">
        <f>"53983.293"</f>
        <v>53983.293</v>
      </c>
      <c r="F452" t="str">
        <f>""</f>
        <v/>
      </c>
      <c r="G452" t="str">
        <f>"0.003"</f>
        <v>0.003</v>
      </c>
      <c r="H452" t="str">
        <f>"1.234"</f>
        <v>1.234</v>
      </c>
      <c r="I452" t="str">
        <f>"  39             :    35  3d7.(2H).4p           3G*  "</f>
        <v xml:space="preserve">  39             :    35  3d7.(2H).4p           3G*  </v>
      </c>
      <c r="J452" t="str">
        <f>""</f>
        <v/>
      </c>
    </row>
    <row r="453" spans="1:10">
      <c r="A453" s="1" t="str">
        <f>"3d6.(3G).4s.4p.(3P*)"</f>
        <v>3d6.(3G).4s.4p.(3P*)</v>
      </c>
      <c r="B453" t="str">
        <f>"t 3G*"</f>
        <v>t 3G*</v>
      </c>
      <c r="C453" t="str">
        <f>"4"</f>
        <v>4</v>
      </c>
      <c r="D453" t="str">
        <f>""</f>
        <v/>
      </c>
      <c r="E453" t="str">
        <f>"54237.415"</f>
        <v>54237.415</v>
      </c>
      <c r="F453" t="str">
        <f>""</f>
        <v/>
      </c>
      <c r="G453" t="str">
        <f>"0.001"</f>
        <v>0.001</v>
      </c>
      <c r="H453" t="str">
        <f>"1.183"</f>
        <v>1.183</v>
      </c>
      <c r="I453" t="str">
        <f>"  34             :    36  3d7.(2H).4p           3G*  "</f>
        <v xml:space="preserve">  34             :    36  3d7.(2H).4p           3G*  </v>
      </c>
      <c r="J453" t="str">
        <f>""</f>
        <v/>
      </c>
    </row>
    <row r="454" spans="1:10">
      <c r="A454" s="1" t="str">
        <f>"3d6.(3G).4s.4p.(3P*)"</f>
        <v>3d6.(3G).4s.4p.(3P*)</v>
      </c>
      <c r="B454" t="str">
        <f>"t 3G*"</f>
        <v>t 3G*</v>
      </c>
      <c r="C454" t="str">
        <f>"3"</f>
        <v>3</v>
      </c>
      <c r="D454" t="str">
        <f>""</f>
        <v/>
      </c>
      <c r="E454" t="str">
        <f>"54600.350"</f>
        <v>54600.350</v>
      </c>
      <c r="F454" t="str">
        <f>""</f>
        <v/>
      </c>
      <c r="G454" t="str">
        <f>"0.001"</f>
        <v>0.001</v>
      </c>
      <c r="H454" t="str">
        <f>"0.922"</f>
        <v>0.922</v>
      </c>
      <c r="I454" t="str">
        <f>"  32             :    31  3d7.(2H).4p           3G*  "</f>
        <v xml:space="preserve">  32             :    31  3d7.(2H).4p           3G*  </v>
      </c>
      <c r="J454" t="str">
        <f>""</f>
        <v/>
      </c>
    </row>
    <row r="455" spans="1:10">
      <c r="A455" s="1" t="str">
        <f>"3d6.(3D).4s.4p.(3P*)"</f>
        <v>3d6.(3D).4s.4p.(3P*)</v>
      </c>
      <c r="B455" t="str">
        <f>"t 5P*"</f>
        <v>t 5P*</v>
      </c>
      <c r="C455" t="str">
        <f>"3"</f>
        <v>3</v>
      </c>
      <c r="D455" t="str">
        <f>""</f>
        <v/>
      </c>
      <c r="E455" t="str">
        <f>"54004.718"</f>
        <v>54004.718</v>
      </c>
      <c r="F455" t="str">
        <f>""</f>
        <v/>
      </c>
      <c r="G455" t="str">
        <f>"0.001"</f>
        <v>0.001</v>
      </c>
      <c r="H455" t="str">
        <f>""</f>
        <v/>
      </c>
      <c r="I455" t="str">
        <f>"  68             :    13  3d6.(3D).4s.4p.(3P*)  5D*  "</f>
        <v xml:space="preserve">  68             :    13  3d6.(3D).4s.4p.(3P*)  5D*  </v>
      </c>
      <c r="J455" t="str">
        <f>""</f>
        <v/>
      </c>
    </row>
    <row r="456" spans="1:10">
      <c r="A456" s="1" t="str">
        <f>"3d6.(3D).4s.4p.(3P*)"</f>
        <v>3d6.(3D).4s.4p.(3P*)</v>
      </c>
      <c r="B456" t="str">
        <f>"t 5P*"</f>
        <v>t 5P*</v>
      </c>
      <c r="C456" t="str">
        <f>"2"</f>
        <v>2</v>
      </c>
      <c r="D456" t="str">
        <f>""</f>
        <v/>
      </c>
      <c r="E456" t="str">
        <f>"54112.230"</f>
        <v>54112.230</v>
      </c>
      <c r="F456" t="str">
        <f>""</f>
        <v/>
      </c>
      <c r="G456" t="str">
        <f>"0.001"</f>
        <v>0.001</v>
      </c>
      <c r="H456" t="str">
        <f>"1.70?"</f>
        <v>1.70?</v>
      </c>
      <c r="I456" t="str">
        <f>"  47             :    31  3d6.(3D).4s.4p.(3P*)  5D*  "</f>
        <v xml:space="preserve">  47             :    31  3d6.(3D).4s.4p.(3P*)  5D*  </v>
      </c>
      <c r="J456" t="str">
        <f>""</f>
        <v/>
      </c>
    </row>
    <row r="457" spans="1:10">
      <c r="A457" s="1" t="str">
        <f>"3d6.(3D).4s.4p.(3P*)"</f>
        <v>3d6.(3D).4s.4p.(3P*)</v>
      </c>
      <c r="B457" t="str">
        <f>"t 5P*"</f>
        <v>t 5P*</v>
      </c>
      <c r="C457" t="str">
        <f>"1"</f>
        <v>1</v>
      </c>
      <c r="D457" t="str">
        <f>""</f>
        <v/>
      </c>
      <c r="E457" t="str">
        <f>"54271.062"</f>
        <v>54271.062</v>
      </c>
      <c r="F457" t="str">
        <f>""</f>
        <v/>
      </c>
      <c r="G457" t="str">
        <f>"0.002"</f>
        <v>0.002</v>
      </c>
      <c r="H457" t="str">
        <f>""</f>
        <v/>
      </c>
      <c r="I457" t="str">
        <f>"  57             :     9  3d7.(2P).4p           3S*  "</f>
        <v xml:space="preserve">  57             :     9  3d7.(2P).4p           3S*  </v>
      </c>
      <c r="J457" t="str">
        <f>""</f>
        <v/>
      </c>
    </row>
    <row r="458" spans="1:10">
      <c r="A458" s="1" t="str">
        <f>"3d6.4s.(6D).6s"</f>
        <v>3d6.4s.(6D).6s</v>
      </c>
      <c r="B458" t="str">
        <f>"5D"</f>
        <v>5D</v>
      </c>
      <c r="C458" t="str">
        <f>"4"</f>
        <v>4</v>
      </c>
      <c r="D458" t="str">
        <f>""</f>
        <v/>
      </c>
      <c r="E458" t="str">
        <f>"54479.902"</f>
        <v>54479.902</v>
      </c>
      <c r="F458" t="str">
        <f>""</f>
        <v/>
      </c>
      <c r="G458" t="str">
        <f>"0.001"</f>
        <v>0.001</v>
      </c>
      <c r="H458" t="str">
        <f>""</f>
        <v/>
      </c>
      <c r="I458" t="str">
        <f t="shared" ref="I458:I465" si="54">"                                                     "</f>
        <v xml:space="preserve">                                                     </v>
      </c>
      <c r="J458" t="str">
        <f>""</f>
        <v/>
      </c>
    </row>
    <row r="459" spans="1:10">
      <c r="A459" s="1" t="str">
        <f>"3d6.4s.(6D).6s"</f>
        <v>3d6.4s.(6D).6s</v>
      </c>
      <c r="B459" t="str">
        <f>"5D"</f>
        <v>5D</v>
      </c>
      <c r="C459" t="str">
        <f>"3"</f>
        <v>3</v>
      </c>
      <c r="D459" t="str">
        <f>""</f>
        <v/>
      </c>
      <c r="E459" t="str">
        <f>"54864.831"</f>
        <v>54864.831</v>
      </c>
      <c r="F459" t="str">
        <f>""</f>
        <v/>
      </c>
      <c r="G459" t="str">
        <f>"0.001"</f>
        <v>0.001</v>
      </c>
      <c r="H459" t="str">
        <f>""</f>
        <v/>
      </c>
      <c r="I459" t="str">
        <f t="shared" si="54"/>
        <v xml:space="preserve">                                                     </v>
      </c>
      <c r="J459" t="str">
        <f>""</f>
        <v/>
      </c>
    </row>
    <row r="460" spans="1:10">
      <c r="A460" s="1" t="str">
        <f>"3d6.4s.(6D).6s"</f>
        <v>3d6.4s.(6D).6s</v>
      </c>
      <c r="B460" t="str">
        <f>"5D"</f>
        <v>5D</v>
      </c>
      <c r="C460" t="str">
        <f>"2"</f>
        <v>2</v>
      </c>
      <c r="D460" t="str">
        <f>""</f>
        <v/>
      </c>
      <c r="E460" t="str">
        <f>"55134.168"</f>
        <v>55134.168</v>
      </c>
      <c r="F460" t="str">
        <f>""</f>
        <v/>
      </c>
      <c r="G460" t="str">
        <f>"0.001"</f>
        <v>0.001</v>
      </c>
      <c r="H460" t="str">
        <f>""</f>
        <v/>
      </c>
      <c r="I460" t="str">
        <f t="shared" si="54"/>
        <v xml:space="preserve">                                                     </v>
      </c>
      <c r="J460" t="str">
        <f>""</f>
        <v/>
      </c>
    </row>
    <row r="461" spans="1:10">
      <c r="A461" s="1" t="str">
        <f>"3d6.4s.(6D).6s"</f>
        <v>3d6.4s.(6D).6s</v>
      </c>
      <c r="B461" t="str">
        <f>"5D"</f>
        <v>5D</v>
      </c>
      <c r="C461" t="str">
        <f>"1"</f>
        <v>1</v>
      </c>
      <c r="D461" t="str">
        <f>""</f>
        <v/>
      </c>
      <c r="E461" t="str">
        <f>"55305.627"</f>
        <v>55305.627</v>
      </c>
      <c r="F461" t="str">
        <f>""</f>
        <v/>
      </c>
      <c r="G461" t="str">
        <f>"0.002"</f>
        <v>0.002</v>
      </c>
      <c r="H461" t="str">
        <f>""</f>
        <v/>
      </c>
      <c r="I461" t="str">
        <f t="shared" si="54"/>
        <v xml:space="preserve">                                                     </v>
      </c>
      <c r="J461" t="str">
        <f>""</f>
        <v/>
      </c>
    </row>
    <row r="462" spans="1:10">
      <c r="A462" s="1" t="str">
        <f>"3d6.4s.(6D).6s"</f>
        <v>3d6.4s.(6D).6s</v>
      </c>
      <c r="B462" t="str">
        <f>"5D"</f>
        <v>5D</v>
      </c>
      <c r="C462" t="str">
        <f>"0"</f>
        <v>0</v>
      </c>
      <c r="D462" t="str">
        <f>""</f>
        <v/>
      </c>
      <c r="E462" t="str">
        <f>"55390.520"</f>
        <v>55390.520</v>
      </c>
      <c r="F462" t="str">
        <f>""</f>
        <v/>
      </c>
      <c r="G462" t="str">
        <f>"0.003"</f>
        <v>0.003</v>
      </c>
      <c r="H462" t="str">
        <f>""</f>
        <v/>
      </c>
      <c r="I462" t="str">
        <f t="shared" si="54"/>
        <v xml:space="preserve">                                                     </v>
      </c>
      <c r="J462" t="str">
        <f>""</f>
        <v/>
      </c>
    </row>
    <row r="463" spans="1:10">
      <c r="A463" s="1" t="str">
        <f>"3d7.(4F).4d"</f>
        <v>3d7.(4F).4d</v>
      </c>
      <c r="B463" t="str">
        <f>"f 3F"</f>
        <v>f 3F</v>
      </c>
      <c r="C463" t="str">
        <f>"4"</f>
        <v>4</v>
      </c>
      <c r="D463" t="str">
        <f>""</f>
        <v/>
      </c>
      <c r="E463" t="str">
        <f>"54683.322"</f>
        <v>54683.322</v>
      </c>
      <c r="F463" t="str">
        <f>""</f>
        <v/>
      </c>
      <c r="G463" t="str">
        <f>"0.001"</f>
        <v>0.001</v>
      </c>
      <c r="H463" t="str">
        <f>"1.141"</f>
        <v>1.141</v>
      </c>
      <c r="I463" t="str">
        <f t="shared" si="54"/>
        <v xml:space="preserve">                                                     </v>
      </c>
      <c r="J463" t="str">
        <f>""</f>
        <v/>
      </c>
    </row>
    <row r="464" spans="1:10">
      <c r="A464" s="1" t="str">
        <f>"3d7.(4F).4d"</f>
        <v>3d7.(4F).4d</v>
      </c>
      <c r="B464" t="str">
        <f>"f 3F"</f>
        <v>f 3F</v>
      </c>
      <c r="C464" t="str">
        <f>"3"</f>
        <v>3</v>
      </c>
      <c r="D464" t="str">
        <f>""</f>
        <v/>
      </c>
      <c r="E464" t="str">
        <f>"55124.938"</f>
        <v>55124.938</v>
      </c>
      <c r="F464" t="str">
        <f>""</f>
        <v/>
      </c>
      <c r="G464" t="str">
        <f>"0.001"</f>
        <v>0.001</v>
      </c>
      <c r="H464" t="str">
        <f>"1.071"</f>
        <v>1.071</v>
      </c>
      <c r="I464" t="str">
        <f t="shared" si="54"/>
        <v xml:space="preserve">                                                     </v>
      </c>
      <c r="J464" t="str">
        <f>""</f>
        <v/>
      </c>
    </row>
    <row r="465" spans="1:10">
      <c r="A465" s="1" t="str">
        <f>"3d7.(4F).4d"</f>
        <v>3d7.(4F).4d</v>
      </c>
      <c r="B465" t="str">
        <f>"f 3F"</f>
        <v>f 3F</v>
      </c>
      <c r="C465" t="str">
        <f>"2"</f>
        <v>2</v>
      </c>
      <c r="D465" t="str">
        <f>""</f>
        <v/>
      </c>
      <c r="E465" t="str">
        <f>"55378.811"</f>
        <v>55378.811</v>
      </c>
      <c r="F465" t="str">
        <f>""</f>
        <v/>
      </c>
      <c r="G465" t="str">
        <f>"0.005"</f>
        <v>0.005</v>
      </c>
      <c r="H465" t="str">
        <f>"0.676"</f>
        <v>0.676</v>
      </c>
      <c r="I465" t="str">
        <f t="shared" si="54"/>
        <v xml:space="preserve">                                                     </v>
      </c>
      <c r="J465" t="str">
        <f>""</f>
        <v/>
      </c>
    </row>
    <row r="466" spans="1:10">
      <c r="A466" s="1" t="str">
        <f>"3d6.(3G).4s.4p.(3P*)"</f>
        <v>3d6.(3G).4s.4p.(3P*)</v>
      </c>
      <c r="B466" t="str">
        <f>"w 1G*"</f>
        <v>w 1G*</v>
      </c>
      <c r="C466" t="str">
        <f>"4"</f>
        <v>4</v>
      </c>
      <c r="D466" t="str">
        <f>""</f>
        <v/>
      </c>
      <c r="E466" t="str">
        <f>"54810.856"</f>
        <v>54810.856</v>
      </c>
      <c r="F466" t="str">
        <f>""</f>
        <v/>
      </c>
      <c r="G466" t="str">
        <f>"0.003"</f>
        <v>0.003</v>
      </c>
      <c r="H466" t="str">
        <f>"1.001"</f>
        <v>1.001</v>
      </c>
      <c r="I466" t="str">
        <f>"  44             :    22  3d7.(2G).4p           1G*  "</f>
        <v xml:space="preserve">  44             :    22  3d7.(2G).4p           1G*  </v>
      </c>
      <c r="J466" t="str">
        <f>""</f>
        <v/>
      </c>
    </row>
    <row r="467" spans="1:10">
      <c r="A467" s="1" t="str">
        <f>"3d7.(4F).4d"</f>
        <v>3d7.(4F).4d</v>
      </c>
      <c r="B467" t="str">
        <f>"e 3P"</f>
        <v>e 3P</v>
      </c>
      <c r="C467" t="str">
        <f>"2"</f>
        <v>2</v>
      </c>
      <c r="D467" t="str">
        <f>""</f>
        <v/>
      </c>
      <c r="E467" t="str">
        <f>"54879.683"</f>
        <v>54879.683</v>
      </c>
      <c r="F467" t="str">
        <f>""</f>
        <v/>
      </c>
      <c r="G467" t="str">
        <f>"0.001"</f>
        <v>0.001</v>
      </c>
      <c r="H467" t="str">
        <f>"1.459"</f>
        <v>1.459</v>
      </c>
      <c r="I467" t="str">
        <f>"                                                     "</f>
        <v xml:space="preserve">                                                     </v>
      </c>
      <c r="J467" t="str">
        <f>""</f>
        <v/>
      </c>
    </row>
    <row r="468" spans="1:10">
      <c r="A468" s="1" t="str">
        <f>"3d7.(4F).4d"</f>
        <v>3d7.(4F).4d</v>
      </c>
      <c r="B468" t="str">
        <f>"e 3P"</f>
        <v>e 3P</v>
      </c>
      <c r="C468" t="str">
        <f>"1"</f>
        <v>1</v>
      </c>
      <c r="D468" t="str">
        <f>""</f>
        <v/>
      </c>
      <c r="E468" t="str">
        <f>"55376.090"</f>
        <v>55376.090</v>
      </c>
      <c r="F468" t="str">
        <f>""</f>
        <v/>
      </c>
      <c r="G468" t="str">
        <f>"0.002"</f>
        <v>0.002</v>
      </c>
      <c r="H468" t="str">
        <f>"1.459"</f>
        <v>1.459</v>
      </c>
      <c r="I468" t="str">
        <f>"                                                     "</f>
        <v xml:space="preserve">                                                     </v>
      </c>
      <c r="J468" t="str">
        <f>""</f>
        <v/>
      </c>
    </row>
    <row r="469" spans="1:10">
      <c r="A469" s="1" t="str">
        <f>"3d7.(4F).4d"</f>
        <v>3d7.(4F).4d</v>
      </c>
      <c r="B469" t="str">
        <f>"e 3P"</f>
        <v>e 3P</v>
      </c>
      <c r="C469" t="str">
        <f>"0"</f>
        <v>0</v>
      </c>
      <c r="D469" t="str">
        <f>""</f>
        <v/>
      </c>
      <c r="E469" t="str">
        <f>"55726.52"</f>
        <v>55726.52</v>
      </c>
      <c r="F469" t="str">
        <f>"?"</f>
        <v>?</v>
      </c>
      <c r="G469" t="str">
        <f>"0.071"</f>
        <v>0.071</v>
      </c>
      <c r="H469" t="str">
        <f>""</f>
        <v/>
      </c>
      <c r="I469" t="str">
        <f>"                                                     "</f>
        <v xml:space="preserve">                                                     </v>
      </c>
      <c r="J469" t="str">
        <f>""</f>
        <v/>
      </c>
    </row>
    <row r="470" spans="1:10">
      <c r="A470" s="1" t="str">
        <f t="shared" ref="A470:A475" si="55">"3d6.(1G2).4s.4p.(3P*)"</f>
        <v>3d6.(1G2).4s.4p.(3P*)</v>
      </c>
      <c r="B470" t="str">
        <f>"s 3G*"</f>
        <v>s 3G*</v>
      </c>
      <c r="C470" t="str">
        <f>"5"</f>
        <v>5</v>
      </c>
      <c r="D470" t="str">
        <f>""</f>
        <v/>
      </c>
      <c r="E470" t="str">
        <f>"55429.819"</f>
        <v>55429.819</v>
      </c>
      <c r="F470" t="str">
        <f>""</f>
        <v/>
      </c>
      <c r="G470" t="str">
        <f>"0.002"</f>
        <v>0.002</v>
      </c>
      <c r="H470" t="str">
        <f>"1.057"</f>
        <v>1.057</v>
      </c>
      <c r="I470" t="str">
        <f>"  46             :    23  3d7.(2H).4p           1H*  "</f>
        <v xml:space="preserve">  46             :    23  3d7.(2H).4p           1H*  </v>
      </c>
      <c r="J470" t="str">
        <f>""</f>
        <v/>
      </c>
    </row>
    <row r="471" spans="1:10">
      <c r="A471" s="1" t="str">
        <f t="shared" si="55"/>
        <v>3d6.(1G2).4s.4p.(3P*)</v>
      </c>
      <c r="B471" t="str">
        <f>"s 3G*"</f>
        <v>s 3G*</v>
      </c>
      <c r="C471" t="str">
        <f>"3"</f>
        <v>3</v>
      </c>
      <c r="D471" t="str">
        <f>""</f>
        <v/>
      </c>
      <c r="E471" t="str">
        <f>"55790.696"</f>
        <v>55790.696</v>
      </c>
      <c r="F471" t="str">
        <f>""</f>
        <v/>
      </c>
      <c r="G471" t="str">
        <f>"0.002"</f>
        <v>0.002</v>
      </c>
      <c r="H471" t="str">
        <f>"0.908"</f>
        <v>0.908</v>
      </c>
      <c r="I471" t="str">
        <f>"  53             :    21  3d6.(3G).4s.4p.(3P*)  1F*  "</f>
        <v xml:space="preserve">  53             :    21  3d6.(3G).4s.4p.(3P*)  1F*  </v>
      </c>
      <c r="J471" t="str">
        <f>""</f>
        <v/>
      </c>
    </row>
    <row r="472" spans="1:10">
      <c r="A472" s="1" t="str">
        <f t="shared" si="55"/>
        <v>3d6.(1G2).4s.4p.(3P*)</v>
      </c>
      <c r="B472" t="str">
        <f>"s 3G*"</f>
        <v>s 3G*</v>
      </c>
      <c r="C472" t="str">
        <f>"4"</f>
        <v>4</v>
      </c>
      <c r="D472" t="str">
        <f>""</f>
        <v/>
      </c>
      <c r="E472" t="str">
        <f>"55905.536"</f>
        <v>55905.536</v>
      </c>
      <c r="F472" t="str">
        <f>""</f>
        <v/>
      </c>
      <c r="G472" t="str">
        <f>"0.003"</f>
        <v>0.003</v>
      </c>
      <c r="H472" t="str">
        <f>""</f>
        <v/>
      </c>
      <c r="I472" t="str">
        <f>"  61             :    17  3d6.(1G2).4s.4p.(3P*) 3H*  "</f>
        <v xml:space="preserve">  61             :    17  3d6.(1G2).4s.4p.(3P*) 3H*  </v>
      </c>
      <c r="J472" t="str">
        <f>""</f>
        <v/>
      </c>
    </row>
    <row r="473" spans="1:10">
      <c r="A473" s="1" t="str">
        <f t="shared" si="55"/>
        <v>3d6.(1G2).4s.4p.(3P*)</v>
      </c>
      <c r="B473" t="str">
        <f>"v 3H*"</f>
        <v>v 3H*</v>
      </c>
      <c r="C473" t="str">
        <f>"4"</f>
        <v>4</v>
      </c>
      <c r="D473" t="str">
        <f>""</f>
        <v/>
      </c>
      <c r="E473" t="str">
        <f>"55446.008"</f>
        <v>55446.008</v>
      </c>
      <c r="F473" t="str">
        <f>""</f>
        <v/>
      </c>
      <c r="G473" t="str">
        <f>"0.003"</f>
        <v>0.003</v>
      </c>
      <c r="H473" t="str">
        <f>"0.804"</f>
        <v>0.804</v>
      </c>
      <c r="I473" t="str">
        <f>"  59             :    11  3d6.(1I).4s.4p.(3P*)  3H*  "</f>
        <v xml:space="preserve">  59             :    11  3d6.(1I).4s.4p.(3P*)  3H*  </v>
      </c>
      <c r="J473" t="str">
        <f>""</f>
        <v/>
      </c>
    </row>
    <row r="474" spans="1:10">
      <c r="A474" s="1" t="str">
        <f t="shared" si="55"/>
        <v>3d6.(1G2).4s.4p.(3P*)</v>
      </c>
      <c r="B474" t="str">
        <f>"v 3H*"</f>
        <v>v 3H*</v>
      </c>
      <c r="C474" t="str">
        <f>"6"</f>
        <v>6</v>
      </c>
      <c r="D474" t="str">
        <f>""</f>
        <v/>
      </c>
      <c r="E474" t="str">
        <f>"55489.742"</f>
        <v>55489.742</v>
      </c>
      <c r="F474" t="str">
        <f>""</f>
        <v/>
      </c>
      <c r="G474" t="str">
        <f>"0.003"</f>
        <v>0.003</v>
      </c>
      <c r="H474" t="str">
        <f>"1.169"</f>
        <v>1.169</v>
      </c>
      <c r="I474" t="str">
        <f>"  48             :    33  3d6.(1I).4s.4p.(3P*)  3H*  "</f>
        <v xml:space="preserve">  48             :    33  3d6.(1I).4s.4p.(3P*)  3H*  </v>
      </c>
      <c r="J474" t="str">
        <f>""</f>
        <v/>
      </c>
    </row>
    <row r="475" spans="1:10">
      <c r="A475" s="1" t="str">
        <f t="shared" si="55"/>
        <v>3d6.(1G2).4s.4p.(3P*)</v>
      </c>
      <c r="B475" t="str">
        <f>"v 3H*"</f>
        <v>v 3H*</v>
      </c>
      <c r="C475" t="str">
        <f>"5"</f>
        <v>5</v>
      </c>
      <c r="D475" t="str">
        <f>""</f>
        <v/>
      </c>
      <c r="E475" t="str">
        <f>"55525.562"</f>
        <v>55525.562</v>
      </c>
      <c r="F475" t="str">
        <f>""</f>
        <v/>
      </c>
      <c r="G475" t="str">
        <f>"0.002"</f>
        <v>0.002</v>
      </c>
      <c r="H475" t="str">
        <f>"1.018"</f>
        <v>1.018</v>
      </c>
      <c r="I475" t="str">
        <f>"  47             :    23  3d7.(2H).4p           1H*  "</f>
        <v xml:space="preserve">  47             :    23  3d7.(2H).4p           1H*  </v>
      </c>
      <c r="J475" t="str">
        <f>""</f>
        <v/>
      </c>
    </row>
    <row r="476" spans="1:10">
      <c r="A476" s="1" t="str">
        <f>"3d7.(2D2).4p"</f>
        <v>3d7.(2D2).4p</v>
      </c>
      <c r="B476" t="str">
        <f>"w 1D*"</f>
        <v>w 1D*</v>
      </c>
      <c r="C476" t="str">
        <f>"2"</f>
        <v>2</v>
      </c>
      <c r="D476" t="str">
        <f>""</f>
        <v/>
      </c>
      <c r="E476" t="str">
        <f>"55754.233"</f>
        <v>55754.233</v>
      </c>
      <c r="F476" t="str">
        <f>""</f>
        <v/>
      </c>
      <c r="G476" t="str">
        <f>"0.003"</f>
        <v>0.003</v>
      </c>
      <c r="H476" t="str">
        <f>"0.990"</f>
        <v>0.990</v>
      </c>
      <c r="I476" t="str">
        <f>"  62             :    15  3d7.(2P).4p           1D*  "</f>
        <v xml:space="preserve">  62             :    15  3d7.(2P).4p           1D*  </v>
      </c>
      <c r="J476" t="str">
        <f>""</f>
        <v/>
      </c>
    </row>
    <row r="477" spans="1:10">
      <c r="A477" s="1" t="str">
        <f>"3d7.(2H).4p"</f>
        <v>3d7.(2H).4p</v>
      </c>
      <c r="B477" t="str">
        <f>"1H*"</f>
        <v>1H*</v>
      </c>
      <c r="C477" t="str">
        <f>"5"</f>
        <v>5</v>
      </c>
      <c r="D477" t="str">
        <f>""</f>
        <v/>
      </c>
      <c r="E477" t="str">
        <f>"55907.178"</f>
        <v>55907.178</v>
      </c>
      <c r="F477" t="str">
        <f>""</f>
        <v/>
      </c>
      <c r="G477" t="str">
        <f>"0.002"</f>
        <v>0.002</v>
      </c>
      <c r="H477" t="str">
        <f>"1.145"</f>
        <v>1.145</v>
      </c>
      <c r="I477" t="str">
        <f>"  33  1H*        :    31  3d6.(1G2).4s.4p.(3P*) 3G*  "</f>
        <v xml:space="preserve">  33  1H*        :    31  3d6.(1G2).4s.4p.(3P*) 3G*  </v>
      </c>
      <c r="J477" t="str">
        <f>""</f>
        <v/>
      </c>
    </row>
    <row r="478" spans="1:10">
      <c r="A478" s="1" t="str">
        <f>"3d6.(3G).4s.4p.(3P*)"</f>
        <v>3d6.(3G).4s.4p.(3P*)</v>
      </c>
      <c r="B478" t="str">
        <f>"1F*"</f>
        <v>1F*</v>
      </c>
      <c r="C478" t="str">
        <f>"3"</f>
        <v>3</v>
      </c>
      <c r="D478" t="str">
        <f>""</f>
        <v/>
      </c>
      <c r="E478" t="str">
        <f>"56097.836"</f>
        <v>56097.836</v>
      </c>
      <c r="F478" t="str">
        <f>""</f>
        <v/>
      </c>
      <c r="G478" t="str">
        <f>"0.002"</f>
        <v>0.002</v>
      </c>
      <c r="H478" t="str">
        <f>"0.857"</f>
        <v>0.857</v>
      </c>
      <c r="I478" t="str">
        <f>"  45             :    25  3d6.(1G2).4s.4p.(3P*) 3G*  "</f>
        <v xml:space="preserve">  45             :    25  3d6.(1G2).4s.4p.(3P*) 3G*  </v>
      </c>
      <c r="J478" t="str">
        <f>""</f>
        <v/>
      </c>
    </row>
    <row r="479" spans="1:10">
      <c r="A479" s="1" t="str">
        <f>"3d7.(4F).6s"</f>
        <v>3d7.(4F).6s</v>
      </c>
      <c r="B479" t="str">
        <f>"5F"</f>
        <v>5F</v>
      </c>
      <c r="C479" t="str">
        <f>"5"</f>
        <v>5</v>
      </c>
      <c r="D479" t="str">
        <f>""</f>
        <v/>
      </c>
      <c r="E479" t="str">
        <f>"56113.887"</f>
        <v>56113.887</v>
      </c>
      <c r="F479" t="str">
        <f>""</f>
        <v/>
      </c>
      <c r="G479" t="str">
        <f>"0.001"</f>
        <v>0.001</v>
      </c>
      <c r="H479" t="str">
        <f>""</f>
        <v/>
      </c>
      <c r="I479" t="str">
        <f t="shared" ref="I479:I499" si="56">"                                                     "</f>
        <v xml:space="preserve">                                                     </v>
      </c>
      <c r="J479" t="str">
        <f>""</f>
        <v/>
      </c>
    </row>
    <row r="480" spans="1:10">
      <c r="A480" s="1" t="str">
        <f>"3d7.(4F).6s"</f>
        <v>3d7.(4F).6s</v>
      </c>
      <c r="B480" t="str">
        <f>"5F"</f>
        <v>5F</v>
      </c>
      <c r="C480" t="str">
        <f>"4"</f>
        <v>4</v>
      </c>
      <c r="D480" t="str">
        <f>""</f>
        <v/>
      </c>
      <c r="E480" t="str">
        <f>"56516.218"</f>
        <v>56516.218</v>
      </c>
      <c r="F480" t="str">
        <f>""</f>
        <v/>
      </c>
      <c r="G480" t="str">
        <f>"0.002"</f>
        <v>0.002</v>
      </c>
      <c r="H480" t="str">
        <f>""</f>
        <v/>
      </c>
      <c r="I480" t="str">
        <f t="shared" si="56"/>
        <v xml:space="preserve">                                                     </v>
      </c>
      <c r="J480" t="str">
        <f>""</f>
        <v/>
      </c>
    </row>
    <row r="481" spans="1:10">
      <c r="A481" s="1" t="str">
        <f>"3d7.(4F).6s"</f>
        <v>3d7.(4F).6s</v>
      </c>
      <c r="B481" t="str">
        <f>"5F"</f>
        <v>5F</v>
      </c>
      <c r="C481" t="str">
        <f>"3"</f>
        <v>3</v>
      </c>
      <c r="D481" t="str">
        <f>""</f>
        <v/>
      </c>
      <c r="E481" t="str">
        <f>"57510.666"</f>
        <v>57510.666</v>
      </c>
      <c r="F481" t="str">
        <f>""</f>
        <v/>
      </c>
      <c r="G481" t="str">
        <f>"0.004"</f>
        <v>0.004</v>
      </c>
      <c r="H481" t="str">
        <f>""</f>
        <v/>
      </c>
      <c r="I481" t="str">
        <f t="shared" si="56"/>
        <v xml:space="preserve">                                                     </v>
      </c>
      <c r="J481" t="str">
        <f>""</f>
        <v/>
      </c>
    </row>
    <row r="482" spans="1:10">
      <c r="A482" s="1" t="str">
        <f>"3d7.(4F).6s"</f>
        <v>3d7.(4F).6s</v>
      </c>
      <c r="B482" t="str">
        <f>"5F"</f>
        <v>5F</v>
      </c>
      <c r="C482" t="str">
        <f>"2"</f>
        <v>2</v>
      </c>
      <c r="D482" t="str">
        <f>""</f>
        <v/>
      </c>
      <c r="E482" t="str">
        <f>"57528.512"</f>
        <v>57528.512</v>
      </c>
      <c r="F482" t="str">
        <f>""</f>
        <v/>
      </c>
      <c r="G482" t="str">
        <f>"0.002"</f>
        <v>0.002</v>
      </c>
      <c r="H482" t="str">
        <f>""</f>
        <v/>
      </c>
      <c r="I482" t="str">
        <f t="shared" si="56"/>
        <v xml:space="preserve">                                                     </v>
      </c>
      <c r="J482" t="str">
        <f>""</f>
        <v/>
      </c>
    </row>
    <row r="483" spans="1:10">
      <c r="A483" s="1" t="str">
        <f>"3d7.(4F).6s"</f>
        <v>3d7.(4F).6s</v>
      </c>
      <c r="B483" t="str">
        <f>"5F"</f>
        <v>5F</v>
      </c>
      <c r="C483" t="str">
        <f>"1"</f>
        <v>1</v>
      </c>
      <c r="D483" t="str">
        <f>""</f>
        <v/>
      </c>
      <c r="E483" t="str">
        <f>"57754.099"</f>
        <v>57754.099</v>
      </c>
      <c r="F483" t="str">
        <f>""</f>
        <v/>
      </c>
      <c r="G483" t="str">
        <f>"0.003"</f>
        <v>0.003</v>
      </c>
      <c r="H483" t="str">
        <f>""</f>
        <v/>
      </c>
      <c r="I483" t="str">
        <f t="shared" si="56"/>
        <v xml:space="preserve">                                                     </v>
      </c>
      <c r="J483" t="str">
        <f>""</f>
        <v/>
      </c>
    </row>
    <row r="484" spans="1:10">
      <c r="A484" s="1" t="str">
        <f>"3d6.4s.(6D).6p"</f>
        <v>3d6.4s.(6D).6p</v>
      </c>
      <c r="B484" t="str">
        <f>"7D*"</f>
        <v>7D*</v>
      </c>
      <c r="C484" t="str">
        <f>"5"</f>
        <v>5</v>
      </c>
      <c r="D484" t="str">
        <f>""</f>
        <v/>
      </c>
      <c r="E484" t="str">
        <f>"56120.331"</f>
        <v>56120.331</v>
      </c>
      <c r="F484" t="str">
        <f>""</f>
        <v/>
      </c>
      <c r="G484" t="str">
        <f>"0.002"</f>
        <v>0.002</v>
      </c>
      <c r="H484" t="str">
        <f>""</f>
        <v/>
      </c>
      <c r="I484" t="str">
        <f t="shared" si="56"/>
        <v xml:space="preserve">                                                     </v>
      </c>
      <c r="J484" t="str">
        <f>""</f>
        <v/>
      </c>
    </row>
    <row r="485" spans="1:10">
      <c r="A485" s="1" t="str">
        <f>"3d6.4s.(6D).6p"</f>
        <v>3d6.4s.(6D).6p</v>
      </c>
      <c r="B485" t="str">
        <f>"7D*"</f>
        <v>7D*</v>
      </c>
      <c r="C485" t="str">
        <f>"4"</f>
        <v>4</v>
      </c>
      <c r="D485" t="str">
        <f>""</f>
        <v/>
      </c>
      <c r="E485" t="str">
        <f>"56516.744"</f>
        <v>56516.744</v>
      </c>
      <c r="F485" t="str">
        <f>""</f>
        <v/>
      </c>
      <c r="G485" t="str">
        <f>"0.003"</f>
        <v>0.003</v>
      </c>
      <c r="H485" t="str">
        <f>""</f>
        <v/>
      </c>
      <c r="I485" t="str">
        <f t="shared" si="56"/>
        <v xml:space="preserve">                                                     </v>
      </c>
      <c r="J485" t="str">
        <f>""</f>
        <v/>
      </c>
    </row>
    <row r="486" spans="1:10">
      <c r="A486" s="1" t="str">
        <f>"3d6.4s.(6D).6p"</f>
        <v>3d6.4s.(6D).6p</v>
      </c>
      <c r="B486" t="str">
        <f>"7D*"</f>
        <v>7D*</v>
      </c>
      <c r="C486" t="str">
        <f>"3"</f>
        <v>3</v>
      </c>
      <c r="D486" t="str">
        <f>""</f>
        <v/>
      </c>
      <c r="E486" t="str">
        <f>"56555.066"</f>
        <v>56555.066</v>
      </c>
      <c r="F486" t="str">
        <f>""</f>
        <v/>
      </c>
      <c r="G486" t="str">
        <f>"0.004"</f>
        <v>0.004</v>
      </c>
      <c r="H486" t="str">
        <f>""</f>
        <v/>
      </c>
      <c r="I486" t="str">
        <f t="shared" si="56"/>
        <v xml:space="preserve">                                                     </v>
      </c>
      <c r="J486" t="str">
        <f>""</f>
        <v/>
      </c>
    </row>
    <row r="487" spans="1:10">
      <c r="A487" s="1" t="str">
        <f>"3d6.4s.(6D).6p"</f>
        <v>3d6.4s.(6D).6p</v>
      </c>
      <c r="B487" t="str">
        <f>"7D*"</f>
        <v>7D*</v>
      </c>
      <c r="C487" t="str">
        <f>"2"</f>
        <v>2</v>
      </c>
      <c r="D487" t="str">
        <f>""</f>
        <v/>
      </c>
      <c r="E487" t="str">
        <f>"56933.382"</f>
        <v>56933.382</v>
      </c>
      <c r="F487" t="str">
        <f>""</f>
        <v/>
      </c>
      <c r="G487" t="str">
        <f>"0.005"</f>
        <v>0.005</v>
      </c>
      <c r="H487" t="str">
        <f>""</f>
        <v/>
      </c>
      <c r="I487" t="str">
        <f t="shared" si="56"/>
        <v xml:space="preserve">                                                     </v>
      </c>
      <c r="J487" t="str">
        <f>""</f>
        <v/>
      </c>
    </row>
    <row r="488" spans="1:10">
      <c r="A488" s="1" t="str">
        <f>"3d6.4s.(6D).6p"</f>
        <v>3d6.4s.(6D).6p</v>
      </c>
      <c r="B488" t="str">
        <f>"7D*"</f>
        <v>7D*</v>
      </c>
      <c r="C488" t="str">
        <f>"1"</f>
        <v>1</v>
      </c>
      <c r="D488" t="str">
        <f>""</f>
        <v/>
      </c>
      <c r="E488" t="str">
        <f>"57164.14"</f>
        <v>57164.14</v>
      </c>
      <c r="F488" t="str">
        <f>""</f>
        <v/>
      </c>
      <c r="G488" t="str">
        <f>"0.005"</f>
        <v>0.005</v>
      </c>
      <c r="H488" t="str">
        <f>""</f>
        <v/>
      </c>
      <c r="I488" t="str">
        <f t="shared" si="56"/>
        <v xml:space="preserve">                                                     </v>
      </c>
      <c r="J488" t="str">
        <f>""</f>
        <v/>
      </c>
    </row>
    <row r="489" spans="1:10">
      <c r="A489" s="1" t="str">
        <f>"3d6.4s.(6D).5d"</f>
        <v>3d6.4s.(6D).5d</v>
      </c>
      <c r="B489" t="str">
        <f>"5D"</f>
        <v>5D</v>
      </c>
      <c r="C489" t="str">
        <f>"4"</f>
        <v>4</v>
      </c>
      <c r="D489" t="str">
        <f>""</f>
        <v/>
      </c>
      <c r="E489" t="str">
        <f>"56207.552"</f>
        <v>56207.552</v>
      </c>
      <c r="F489" t="str">
        <f>""</f>
        <v/>
      </c>
      <c r="G489" t="str">
        <f>"0.002"</f>
        <v>0.002</v>
      </c>
      <c r="H489" t="str">
        <f>""</f>
        <v/>
      </c>
      <c r="I489" t="str">
        <f t="shared" si="56"/>
        <v xml:space="preserve">                                                     </v>
      </c>
      <c r="J489" t="str">
        <f>""</f>
        <v/>
      </c>
    </row>
    <row r="490" spans="1:10">
      <c r="A490" s="1" t="str">
        <f>"3d6.4s.(6D).5d"</f>
        <v>3d6.4s.(6D).5d</v>
      </c>
      <c r="B490" t="str">
        <f>"5D"</f>
        <v>5D</v>
      </c>
      <c r="C490" t="str">
        <f>"3"</f>
        <v>3</v>
      </c>
      <c r="D490" t="str">
        <f>""</f>
        <v/>
      </c>
      <c r="E490" t="str">
        <f>"56337.126"</f>
        <v>56337.126</v>
      </c>
      <c r="F490" t="str">
        <f>""</f>
        <v/>
      </c>
      <c r="G490" t="str">
        <f>"0.002"</f>
        <v>0.002</v>
      </c>
      <c r="H490" t="str">
        <f>""</f>
        <v/>
      </c>
      <c r="I490" t="str">
        <f t="shared" si="56"/>
        <v xml:space="preserve">                                                     </v>
      </c>
      <c r="J490" t="str">
        <f>""</f>
        <v/>
      </c>
    </row>
    <row r="491" spans="1:10">
      <c r="A491" s="1" t="str">
        <f>"3d6.4s.(6D).5d"</f>
        <v>3d6.4s.(6D).5d</v>
      </c>
      <c r="B491" t="str">
        <f>"5D"</f>
        <v>5D</v>
      </c>
      <c r="C491" t="str">
        <f>"2"</f>
        <v>2</v>
      </c>
      <c r="D491" t="str">
        <f>""</f>
        <v/>
      </c>
      <c r="E491" t="str">
        <f>"56479.463"</f>
        <v>56479.463</v>
      </c>
      <c r="F491" t="str">
        <f>""</f>
        <v/>
      </c>
      <c r="G491" t="str">
        <f>"0.002"</f>
        <v>0.002</v>
      </c>
      <c r="H491" t="str">
        <f>""</f>
        <v/>
      </c>
      <c r="I491" t="str">
        <f t="shared" si="56"/>
        <v xml:space="preserve">                                                     </v>
      </c>
      <c r="J491" t="str">
        <f>""</f>
        <v/>
      </c>
    </row>
    <row r="492" spans="1:10">
      <c r="A492" s="1" t="str">
        <f>"3d6.4s.(6D).5d"</f>
        <v>3d6.4s.(6D).5d</v>
      </c>
      <c r="B492" t="str">
        <f>"5D"</f>
        <v>5D</v>
      </c>
      <c r="C492" t="str">
        <f>"1"</f>
        <v>1</v>
      </c>
      <c r="D492" t="str">
        <f>""</f>
        <v/>
      </c>
      <c r="E492" t="str">
        <f>"56735.158"</f>
        <v>56735.158</v>
      </c>
      <c r="F492" t="str">
        <f>""</f>
        <v/>
      </c>
      <c r="G492" t="str">
        <f>"0.003"</f>
        <v>0.003</v>
      </c>
      <c r="H492" t="str">
        <f>""</f>
        <v/>
      </c>
      <c r="I492" t="str">
        <f t="shared" si="56"/>
        <v xml:space="preserve">                                                     </v>
      </c>
      <c r="J492" t="str">
        <f>""</f>
        <v/>
      </c>
    </row>
    <row r="493" spans="1:10">
      <c r="A493" s="1" t="str">
        <f t="shared" ref="A493:A499" si="57">"3d6.4s.(6D).6p"</f>
        <v>3d6.4s.(6D).6p</v>
      </c>
      <c r="B493" t="str">
        <f t="shared" ref="B493:B499" si="58">"7F*"</f>
        <v>7F*</v>
      </c>
      <c r="C493" t="str">
        <f>"6"</f>
        <v>6</v>
      </c>
      <c r="D493" t="str">
        <f>""</f>
        <v/>
      </c>
      <c r="E493" t="str">
        <f>"56260.982"</f>
        <v>56260.982</v>
      </c>
      <c r="F493" t="str">
        <f>""</f>
        <v/>
      </c>
      <c r="G493" t="str">
        <f>"0.003"</f>
        <v>0.003</v>
      </c>
      <c r="H493" t="str">
        <f>""</f>
        <v/>
      </c>
      <c r="I493" t="str">
        <f t="shared" si="56"/>
        <v xml:space="preserve">                                                     </v>
      </c>
      <c r="J493" t="str">
        <f>""</f>
        <v/>
      </c>
    </row>
    <row r="494" spans="1:10">
      <c r="A494" s="1" t="str">
        <f t="shared" si="57"/>
        <v>3d6.4s.(6D).6p</v>
      </c>
      <c r="B494" t="str">
        <f t="shared" si="58"/>
        <v>7F*</v>
      </c>
      <c r="C494" t="str">
        <f>"5"</f>
        <v>5</v>
      </c>
      <c r="D494" t="str">
        <f>""</f>
        <v/>
      </c>
      <c r="E494" t="str">
        <f>"56502.957"</f>
        <v>56502.957</v>
      </c>
      <c r="F494" t="str">
        <f>""</f>
        <v/>
      </c>
      <c r="G494" t="str">
        <f>"0.003"</f>
        <v>0.003</v>
      </c>
      <c r="H494" t="str">
        <f>""</f>
        <v/>
      </c>
      <c r="I494" t="str">
        <f t="shared" si="56"/>
        <v xml:space="preserve">                                                     </v>
      </c>
      <c r="J494" t="str">
        <f>""</f>
        <v/>
      </c>
    </row>
    <row r="495" spans="1:10">
      <c r="A495" s="1" t="str">
        <f t="shared" si="57"/>
        <v>3d6.4s.(6D).6p</v>
      </c>
      <c r="B495" t="str">
        <f t="shared" si="58"/>
        <v>7F*</v>
      </c>
      <c r="C495" t="str">
        <f>"4"</f>
        <v>4</v>
      </c>
      <c r="D495" t="str">
        <f>""</f>
        <v/>
      </c>
      <c r="E495" t="str">
        <f>"56756.704"</f>
        <v>56756.704</v>
      </c>
      <c r="F495" t="str">
        <f>""</f>
        <v/>
      </c>
      <c r="G495" t="str">
        <f>"0.004"</f>
        <v>0.004</v>
      </c>
      <c r="H495" t="str">
        <f>""</f>
        <v/>
      </c>
      <c r="I495" t="str">
        <f t="shared" si="56"/>
        <v xml:space="preserve">                                                     </v>
      </c>
      <c r="J495" t="str">
        <f>""</f>
        <v/>
      </c>
    </row>
    <row r="496" spans="1:10">
      <c r="A496" s="1" t="str">
        <f t="shared" si="57"/>
        <v>3d6.4s.(6D).6p</v>
      </c>
      <c r="B496" t="str">
        <f t="shared" si="58"/>
        <v>7F*</v>
      </c>
      <c r="C496" t="str">
        <f>"3"</f>
        <v>3</v>
      </c>
      <c r="D496" t="str">
        <f>""</f>
        <v/>
      </c>
      <c r="E496" t="str">
        <f>"57026.960"</f>
        <v>57026.960</v>
      </c>
      <c r="F496" t="str">
        <f>""</f>
        <v/>
      </c>
      <c r="G496" t="str">
        <f>"0.004"</f>
        <v>0.004</v>
      </c>
      <c r="H496" t="str">
        <f>""</f>
        <v/>
      </c>
      <c r="I496" t="str">
        <f t="shared" si="56"/>
        <v xml:space="preserve">                                                     </v>
      </c>
      <c r="J496" t="str">
        <f>""</f>
        <v/>
      </c>
    </row>
    <row r="497" spans="1:10">
      <c r="A497" s="1" t="str">
        <f t="shared" si="57"/>
        <v>3d6.4s.(6D).6p</v>
      </c>
      <c r="B497" t="str">
        <f t="shared" si="58"/>
        <v>7F*</v>
      </c>
      <c r="C497" t="str">
        <f>"0"</f>
        <v>0</v>
      </c>
      <c r="D497" t="str">
        <f>""</f>
        <v/>
      </c>
      <c r="E497" t="str">
        <f>"57121.604"</f>
        <v>57121.604</v>
      </c>
      <c r="F497" t="str">
        <f>""</f>
        <v/>
      </c>
      <c r="G497" t="str">
        <f>"0.003"</f>
        <v>0.003</v>
      </c>
      <c r="H497" t="str">
        <f>""</f>
        <v/>
      </c>
      <c r="I497" t="str">
        <f t="shared" si="56"/>
        <v xml:space="preserve">                                                     </v>
      </c>
      <c r="J497" t="str">
        <f>""</f>
        <v/>
      </c>
    </row>
    <row r="498" spans="1:10">
      <c r="A498" s="1" t="str">
        <f t="shared" si="57"/>
        <v>3d6.4s.(6D).6p</v>
      </c>
      <c r="B498" t="str">
        <f t="shared" si="58"/>
        <v>7F*</v>
      </c>
      <c r="C498" t="str">
        <f>"2"</f>
        <v>2</v>
      </c>
      <c r="D498" t="str">
        <f>""</f>
        <v/>
      </c>
      <c r="E498" t="str">
        <f>"57140.424"</f>
        <v>57140.424</v>
      </c>
      <c r="F498" t="str">
        <f>""</f>
        <v/>
      </c>
      <c r="G498" t="str">
        <f>"0.001"</f>
        <v>0.001</v>
      </c>
      <c r="H498" t="str">
        <f>""</f>
        <v/>
      </c>
      <c r="I498" t="str">
        <f t="shared" si="56"/>
        <v xml:space="preserve">                                                     </v>
      </c>
      <c r="J498" t="str">
        <f>""</f>
        <v/>
      </c>
    </row>
    <row r="499" spans="1:10">
      <c r="A499" s="1" t="str">
        <f t="shared" si="57"/>
        <v>3d6.4s.(6D).6p</v>
      </c>
      <c r="B499" t="str">
        <f t="shared" si="58"/>
        <v>7F*</v>
      </c>
      <c r="C499" t="str">
        <f>"1"</f>
        <v>1</v>
      </c>
      <c r="D499" t="str">
        <f>""</f>
        <v/>
      </c>
      <c r="E499" t="str">
        <f>"57174.430"</f>
        <v>57174.430</v>
      </c>
      <c r="F499" t="str">
        <f>""</f>
        <v/>
      </c>
      <c r="G499" t="str">
        <f>"0.002"</f>
        <v>0.002</v>
      </c>
      <c r="H499" t="str">
        <f>""</f>
        <v/>
      </c>
      <c r="I499" t="str">
        <f t="shared" si="56"/>
        <v xml:space="preserve">                                                     </v>
      </c>
      <c r="J499" t="str">
        <f>""</f>
        <v/>
      </c>
    </row>
    <row r="500" spans="1:10">
      <c r="A500" s="1" t="str">
        <f>"3d6.(1I).4s.4p.(3P*)"</f>
        <v>3d6.(1I).4s.4p.(3P*)</v>
      </c>
      <c r="B500" t="str">
        <f>"u 3H*"</f>
        <v>u 3H*</v>
      </c>
      <c r="C500" t="str">
        <f>"6"</f>
        <v>6</v>
      </c>
      <c r="D500" t="str">
        <f>""</f>
        <v/>
      </c>
      <c r="E500" t="str">
        <f>"56333.960"</f>
        <v>56333.960</v>
      </c>
      <c r="F500" t="str">
        <f>""</f>
        <v/>
      </c>
      <c r="G500" t="str">
        <f>"0.003"</f>
        <v>0.003</v>
      </c>
      <c r="H500" t="str">
        <f>"1.166"</f>
        <v>1.166</v>
      </c>
      <c r="I500" t="str">
        <f>"  44             :    47  3d6.(1G2).4s.4p.(3P*) 3H*  "</f>
        <v xml:space="preserve">  44             :    47  3d6.(1G2).4s.4p.(3P*) 3H*  </v>
      </c>
      <c r="J500" t="str">
        <f>""</f>
        <v/>
      </c>
    </row>
    <row r="501" spans="1:10">
      <c r="A501" s="1" t="str">
        <f>"3d6.(1I).4s.4p.(3P*)"</f>
        <v>3d6.(1I).4s.4p.(3P*)</v>
      </c>
      <c r="B501" t="str">
        <f>"u 3H*"</f>
        <v>u 3H*</v>
      </c>
      <c r="C501" t="str">
        <f>"5"</f>
        <v>5</v>
      </c>
      <c r="D501" t="str">
        <f>""</f>
        <v/>
      </c>
      <c r="E501" t="str">
        <f>"56382.662"</f>
        <v>56382.662</v>
      </c>
      <c r="F501" t="str">
        <f>""</f>
        <v/>
      </c>
      <c r="G501" t="str">
        <f>"0.002"</f>
        <v>0.002</v>
      </c>
      <c r="H501" t="str">
        <f>"1.029"</f>
        <v>1.029</v>
      </c>
      <c r="I501" t="str">
        <f>"  46             :    26  3d6.(1G2).4s.4p.(3P*) 3H*  "</f>
        <v xml:space="preserve">  46             :    26  3d6.(1G2).4s.4p.(3P*) 3H*  </v>
      </c>
      <c r="J501" t="str">
        <f>""</f>
        <v/>
      </c>
    </row>
    <row r="502" spans="1:10">
      <c r="A502" s="1" t="str">
        <f>"3d6.(1I).4s.4p.(3P*)"</f>
        <v>3d6.(1I).4s.4p.(3P*)</v>
      </c>
      <c r="B502" t="str">
        <f>"u 3H*"</f>
        <v>u 3H*</v>
      </c>
      <c r="C502" t="str">
        <f>"4"</f>
        <v>4</v>
      </c>
      <c r="D502" t="str">
        <f>""</f>
        <v/>
      </c>
      <c r="E502" t="str">
        <f>"56423.283"</f>
        <v>56423.283</v>
      </c>
      <c r="F502" t="str">
        <f>""</f>
        <v/>
      </c>
      <c r="G502" t="str">
        <f>"0.002"</f>
        <v>0.002</v>
      </c>
      <c r="H502" t="str">
        <f>"0.859"</f>
        <v>0.859</v>
      </c>
      <c r="I502" t="str">
        <f>"  50             :    18  3d6.(3H).4s.4p.(1P*)  3H*  "</f>
        <v xml:space="preserve">  50             :    18  3d6.(3H).4s.4p.(1P*)  3H*  </v>
      </c>
      <c r="J502" t="str">
        <f>""</f>
        <v/>
      </c>
    </row>
    <row r="503" spans="1:10">
      <c r="A503" s="1" t="str">
        <f t="shared" ref="A503:A528" si="59">"3d6.4s.(6D).5d"</f>
        <v>3d6.4s.(6D).5d</v>
      </c>
      <c r="B503" t="str">
        <f>"5G"</f>
        <v>5G</v>
      </c>
      <c r="C503" t="str">
        <f>"6"</f>
        <v>6</v>
      </c>
      <c r="D503" t="str">
        <f>""</f>
        <v/>
      </c>
      <c r="E503" t="str">
        <f>"56341.860"</f>
        <v>56341.860</v>
      </c>
      <c r="F503" t="str">
        <f>""</f>
        <v/>
      </c>
      <c r="G503" t="str">
        <f>"0.002"</f>
        <v>0.002</v>
      </c>
      <c r="H503" t="str">
        <f>""</f>
        <v/>
      </c>
      <c r="I503" t="str">
        <f t="shared" ref="I503:I531" si="60">"                                                     "</f>
        <v xml:space="preserve">                                                     </v>
      </c>
      <c r="J503" t="str">
        <f>""</f>
        <v/>
      </c>
    </row>
    <row r="504" spans="1:10">
      <c r="A504" s="1" t="str">
        <f t="shared" si="59"/>
        <v>3d6.4s.(6D).5d</v>
      </c>
      <c r="B504" t="str">
        <f>"5G"</f>
        <v>5G</v>
      </c>
      <c r="C504" t="str">
        <f>"5"</f>
        <v>5</v>
      </c>
      <c r="D504" t="str">
        <f>""</f>
        <v/>
      </c>
      <c r="E504" t="str">
        <f>"56550.634"</f>
        <v>56550.634</v>
      </c>
      <c r="F504" t="str">
        <f>""</f>
        <v/>
      </c>
      <c r="G504" t="str">
        <f>"0.001"</f>
        <v>0.001</v>
      </c>
      <c r="H504" t="str">
        <f>""</f>
        <v/>
      </c>
      <c r="I504" t="str">
        <f t="shared" si="60"/>
        <v xml:space="preserve">                                                     </v>
      </c>
      <c r="J504" t="str">
        <f>""</f>
        <v/>
      </c>
    </row>
    <row r="505" spans="1:10">
      <c r="A505" s="1" t="str">
        <f t="shared" si="59"/>
        <v>3d6.4s.(6D).5d</v>
      </c>
      <c r="B505" t="str">
        <f>"5G"</f>
        <v>5G</v>
      </c>
      <c r="C505" t="str">
        <f>"4"</f>
        <v>4</v>
      </c>
      <c r="D505" t="str">
        <f>""</f>
        <v/>
      </c>
      <c r="E505" t="str">
        <f>"56673.145"</f>
        <v>56673.145</v>
      </c>
      <c r="F505" t="str">
        <f>""</f>
        <v/>
      </c>
      <c r="G505" t="str">
        <f>"0.002"</f>
        <v>0.002</v>
      </c>
      <c r="H505" t="str">
        <f>""</f>
        <v/>
      </c>
      <c r="I505" t="str">
        <f t="shared" si="60"/>
        <v xml:space="preserve">                                                     </v>
      </c>
      <c r="J505" t="str">
        <f>""</f>
        <v/>
      </c>
    </row>
    <row r="506" spans="1:10">
      <c r="A506" s="1" t="str">
        <f t="shared" si="59"/>
        <v>3d6.4s.(6D).5d</v>
      </c>
      <c r="B506" t="str">
        <f>"5G"</f>
        <v>5G</v>
      </c>
      <c r="C506" t="str">
        <f>"3"</f>
        <v>3</v>
      </c>
      <c r="D506" t="str">
        <f>""</f>
        <v/>
      </c>
      <c r="E506" t="str">
        <f>"57055.616"</f>
        <v>57055.616</v>
      </c>
      <c r="F506" t="str">
        <f>""</f>
        <v/>
      </c>
      <c r="G506" t="str">
        <f>"0.002"</f>
        <v>0.002</v>
      </c>
      <c r="H506" t="str">
        <f>""</f>
        <v/>
      </c>
      <c r="I506" t="str">
        <f t="shared" si="60"/>
        <v xml:space="preserve">                                                     </v>
      </c>
      <c r="J506" t="str">
        <f>""</f>
        <v/>
      </c>
    </row>
    <row r="507" spans="1:10">
      <c r="A507" s="1" t="str">
        <f t="shared" si="59"/>
        <v>3d6.4s.(6D).5d</v>
      </c>
      <c r="B507" t="str">
        <f>"5G"</f>
        <v>5G</v>
      </c>
      <c r="C507" t="str">
        <f>"2"</f>
        <v>2</v>
      </c>
      <c r="D507" t="str">
        <f>""</f>
        <v/>
      </c>
      <c r="E507" t="str">
        <f>"57233.843"</f>
        <v>57233.843</v>
      </c>
      <c r="F507" t="str">
        <f>""</f>
        <v/>
      </c>
      <c r="G507" t="str">
        <f>"0.002"</f>
        <v>0.002</v>
      </c>
      <c r="H507" t="str">
        <f>""</f>
        <v/>
      </c>
      <c r="I507" t="str">
        <f t="shared" si="60"/>
        <v xml:space="preserve">                                                     </v>
      </c>
      <c r="J507" t="str">
        <f>""</f>
        <v/>
      </c>
    </row>
    <row r="508" spans="1:10">
      <c r="A508" s="1" t="str">
        <f t="shared" si="59"/>
        <v>3d6.4s.(6D).5d</v>
      </c>
      <c r="B508" t="str">
        <f t="shared" ref="B508:B513" si="61">"7F"</f>
        <v>7F</v>
      </c>
      <c r="C508" t="str">
        <f>"6"</f>
        <v>6</v>
      </c>
      <c r="D508" t="str">
        <f>""</f>
        <v/>
      </c>
      <c r="E508" t="str">
        <f>"56427.977"</f>
        <v>56427.977</v>
      </c>
      <c r="F508" t="str">
        <f>""</f>
        <v/>
      </c>
      <c r="G508" t="str">
        <f>"0.002"</f>
        <v>0.002</v>
      </c>
      <c r="H508" t="str">
        <f>""</f>
        <v/>
      </c>
      <c r="I508" t="str">
        <f t="shared" si="60"/>
        <v xml:space="preserve">                                                     </v>
      </c>
      <c r="J508" t="str">
        <f>""</f>
        <v/>
      </c>
    </row>
    <row r="509" spans="1:10">
      <c r="A509" s="1" t="str">
        <f t="shared" si="59"/>
        <v>3d6.4s.(6D).5d</v>
      </c>
      <c r="B509" t="str">
        <f t="shared" si="61"/>
        <v>7F</v>
      </c>
      <c r="C509" t="str">
        <f>"5"</f>
        <v>5</v>
      </c>
      <c r="D509" t="str">
        <f>""</f>
        <v/>
      </c>
      <c r="E509" t="str">
        <f>"56842.733"</f>
        <v>56842.733</v>
      </c>
      <c r="F509" t="str">
        <f>""</f>
        <v/>
      </c>
      <c r="G509" t="str">
        <f>"0.001"</f>
        <v>0.001</v>
      </c>
      <c r="H509" t="str">
        <f>""</f>
        <v/>
      </c>
      <c r="I509" t="str">
        <f t="shared" si="60"/>
        <v xml:space="preserve">                                                     </v>
      </c>
      <c r="J509" t="str">
        <f>""</f>
        <v/>
      </c>
    </row>
    <row r="510" spans="1:10">
      <c r="A510" s="1" t="str">
        <f t="shared" si="59"/>
        <v>3d6.4s.(6D).5d</v>
      </c>
      <c r="B510" t="str">
        <f t="shared" si="61"/>
        <v>7F</v>
      </c>
      <c r="C510" t="str">
        <f>"2"</f>
        <v>2</v>
      </c>
      <c r="D510" t="str">
        <f>""</f>
        <v/>
      </c>
      <c r="E510" t="str">
        <f>"57029.614"</f>
        <v>57029.614</v>
      </c>
      <c r="F510" t="str">
        <f>""</f>
        <v/>
      </c>
      <c r="G510" t="str">
        <f>"0.003"</f>
        <v>0.003</v>
      </c>
      <c r="H510" t="str">
        <f>""</f>
        <v/>
      </c>
      <c r="I510" t="str">
        <f t="shared" si="60"/>
        <v xml:space="preserve">                                                     </v>
      </c>
      <c r="J510" t="str">
        <f>""</f>
        <v/>
      </c>
    </row>
    <row r="511" spans="1:10">
      <c r="A511" s="1" t="str">
        <f t="shared" si="59"/>
        <v>3d6.4s.(6D).5d</v>
      </c>
      <c r="B511" t="str">
        <f t="shared" si="61"/>
        <v>7F</v>
      </c>
      <c r="C511" t="str">
        <f>"3"</f>
        <v>3</v>
      </c>
      <c r="D511" t="str">
        <f>""</f>
        <v/>
      </c>
      <c r="E511" t="str">
        <f>"57084.281"</f>
        <v>57084.281</v>
      </c>
      <c r="F511" t="str">
        <f>""</f>
        <v/>
      </c>
      <c r="G511" t="str">
        <f t="shared" ref="G511:G518" si="62">"0.002"</f>
        <v>0.002</v>
      </c>
      <c r="H511" t="str">
        <f>""</f>
        <v/>
      </c>
      <c r="I511" t="str">
        <f t="shared" si="60"/>
        <v xml:space="preserve">                                                     </v>
      </c>
      <c r="J511" t="str">
        <f>""</f>
        <v/>
      </c>
    </row>
    <row r="512" spans="1:10">
      <c r="A512" s="1" t="str">
        <f t="shared" si="59"/>
        <v>3d6.4s.(6D).5d</v>
      </c>
      <c r="B512" t="str">
        <f t="shared" si="61"/>
        <v>7F</v>
      </c>
      <c r="C512" t="str">
        <f>"1"</f>
        <v>1</v>
      </c>
      <c r="D512" t="str">
        <f>""</f>
        <v/>
      </c>
      <c r="E512" t="str">
        <f>"57213.744"</f>
        <v>57213.744</v>
      </c>
      <c r="F512" t="str">
        <f>""</f>
        <v/>
      </c>
      <c r="G512" t="str">
        <f t="shared" si="62"/>
        <v>0.002</v>
      </c>
      <c r="H512" t="str">
        <f>""</f>
        <v/>
      </c>
      <c r="I512" t="str">
        <f t="shared" si="60"/>
        <v xml:space="preserve">                                                     </v>
      </c>
      <c r="J512" t="str">
        <f>""</f>
        <v/>
      </c>
    </row>
    <row r="513" spans="1:10">
      <c r="A513" s="1" t="str">
        <f t="shared" si="59"/>
        <v>3d6.4s.(6D).5d</v>
      </c>
      <c r="B513" t="str">
        <f t="shared" si="61"/>
        <v>7F</v>
      </c>
      <c r="C513" t="str">
        <f>"4"</f>
        <v>4</v>
      </c>
      <c r="D513" t="str">
        <f>""</f>
        <v/>
      </c>
      <c r="E513" t="str">
        <f>"57307.320"</f>
        <v>57307.320</v>
      </c>
      <c r="F513" t="str">
        <f>""</f>
        <v/>
      </c>
      <c r="G513" t="str">
        <f t="shared" si="62"/>
        <v>0.002</v>
      </c>
      <c r="H513" t="str">
        <f>""</f>
        <v/>
      </c>
      <c r="I513" t="str">
        <f t="shared" si="60"/>
        <v xml:space="preserve">                                                     </v>
      </c>
      <c r="J513" t="str">
        <f>""</f>
        <v/>
      </c>
    </row>
    <row r="514" spans="1:10">
      <c r="A514" s="1" t="str">
        <f t="shared" si="59"/>
        <v>3d6.4s.(6D).5d</v>
      </c>
      <c r="B514" t="str">
        <f>"7D"</f>
        <v>7D</v>
      </c>
      <c r="C514" t="str">
        <f>"5"</f>
        <v>5</v>
      </c>
      <c r="D514" t="str">
        <f>""</f>
        <v/>
      </c>
      <c r="E514" t="str">
        <f>"56432.021"</f>
        <v>56432.021</v>
      </c>
      <c r="F514" t="str">
        <f>""</f>
        <v/>
      </c>
      <c r="G514" t="str">
        <f t="shared" si="62"/>
        <v>0.002</v>
      </c>
      <c r="H514" t="str">
        <f>""</f>
        <v/>
      </c>
      <c r="I514" t="str">
        <f t="shared" si="60"/>
        <v xml:space="preserve">                                                     </v>
      </c>
      <c r="J514" t="str">
        <f>""</f>
        <v/>
      </c>
    </row>
    <row r="515" spans="1:10">
      <c r="A515" s="1" t="str">
        <f t="shared" si="59"/>
        <v>3d6.4s.(6D).5d</v>
      </c>
      <c r="B515" t="str">
        <f>"7D"</f>
        <v>7D</v>
      </c>
      <c r="C515" t="str">
        <f>"4"</f>
        <v>4</v>
      </c>
      <c r="D515" t="str">
        <f>""</f>
        <v/>
      </c>
      <c r="E515" t="str">
        <f>"56452.018"</f>
        <v>56452.018</v>
      </c>
      <c r="F515" t="str">
        <f>""</f>
        <v/>
      </c>
      <c r="G515" t="str">
        <f t="shared" si="62"/>
        <v>0.002</v>
      </c>
      <c r="H515" t="str">
        <f>""</f>
        <v/>
      </c>
      <c r="I515" t="str">
        <f t="shared" si="60"/>
        <v xml:space="preserve">                                                     </v>
      </c>
      <c r="J515" t="str">
        <f>""</f>
        <v/>
      </c>
    </row>
    <row r="516" spans="1:10">
      <c r="A516" s="1" t="str">
        <f t="shared" si="59"/>
        <v>3d6.4s.(6D).5d</v>
      </c>
      <c r="B516" t="str">
        <f>"7D"</f>
        <v>7D</v>
      </c>
      <c r="C516" t="str">
        <f>"2"</f>
        <v>2</v>
      </c>
      <c r="D516" t="str">
        <f>""</f>
        <v/>
      </c>
      <c r="E516" t="str">
        <f>"56842.811"</f>
        <v>56842.811</v>
      </c>
      <c r="F516" t="str">
        <f>""</f>
        <v/>
      </c>
      <c r="G516" t="str">
        <f t="shared" si="62"/>
        <v>0.002</v>
      </c>
      <c r="H516" t="str">
        <f>""</f>
        <v/>
      </c>
      <c r="I516" t="str">
        <f t="shared" si="60"/>
        <v xml:space="preserve">                                                     </v>
      </c>
      <c r="J516" t="str">
        <f>""</f>
        <v/>
      </c>
    </row>
    <row r="517" spans="1:10">
      <c r="A517" s="1" t="str">
        <f t="shared" si="59"/>
        <v>3d6.4s.(6D).5d</v>
      </c>
      <c r="B517" t="str">
        <f>"7D"</f>
        <v>7D</v>
      </c>
      <c r="C517" t="str">
        <f>"1"</f>
        <v>1</v>
      </c>
      <c r="D517" t="str">
        <f>""</f>
        <v/>
      </c>
      <c r="E517" t="str">
        <f>"57004.359"</f>
        <v>57004.359</v>
      </c>
      <c r="F517" t="str">
        <f>""</f>
        <v/>
      </c>
      <c r="G517" t="str">
        <f t="shared" si="62"/>
        <v>0.002</v>
      </c>
      <c r="H517" t="str">
        <f>""</f>
        <v/>
      </c>
      <c r="I517" t="str">
        <f t="shared" si="60"/>
        <v xml:space="preserve">                                                     </v>
      </c>
      <c r="J517" t="str">
        <f>""</f>
        <v/>
      </c>
    </row>
    <row r="518" spans="1:10">
      <c r="A518" s="1" t="str">
        <f t="shared" si="59"/>
        <v>3d6.4s.(6D).5d</v>
      </c>
      <c r="B518" t="str">
        <f>"7D"</f>
        <v>7D</v>
      </c>
      <c r="C518" t="str">
        <f>"3"</f>
        <v>3</v>
      </c>
      <c r="D518" t="str">
        <f>""</f>
        <v/>
      </c>
      <c r="E518" t="str">
        <f>"57070.371"</f>
        <v>57070.371</v>
      </c>
      <c r="F518" t="str">
        <f>""</f>
        <v/>
      </c>
      <c r="G518" t="str">
        <f t="shared" si="62"/>
        <v>0.002</v>
      </c>
      <c r="H518" t="str">
        <f>""</f>
        <v/>
      </c>
      <c r="I518" t="str">
        <f t="shared" si="60"/>
        <v xml:space="preserve">                                                     </v>
      </c>
      <c r="J518" t="str">
        <f>""</f>
        <v/>
      </c>
    </row>
    <row r="519" spans="1:10">
      <c r="A519" s="1" t="str">
        <f t="shared" si="59"/>
        <v>3d6.4s.(6D).5d</v>
      </c>
      <c r="B519" t="str">
        <f>"7P"</f>
        <v>7P</v>
      </c>
      <c r="C519" t="str">
        <f>"3"</f>
        <v>3</v>
      </c>
      <c r="D519" t="str">
        <f>""</f>
        <v/>
      </c>
      <c r="E519" t="str">
        <f>"56462.016"</f>
        <v>56462.016</v>
      </c>
      <c r="F519" t="str">
        <f>""</f>
        <v/>
      </c>
      <c r="G519" t="str">
        <f>"0.003"</f>
        <v>0.003</v>
      </c>
      <c r="H519" t="str">
        <f>""</f>
        <v/>
      </c>
      <c r="I519" t="str">
        <f t="shared" si="60"/>
        <v xml:space="preserve">                                                     </v>
      </c>
      <c r="J519" t="str">
        <f>""</f>
        <v/>
      </c>
    </row>
    <row r="520" spans="1:10">
      <c r="A520" s="1" t="str">
        <f t="shared" si="59"/>
        <v>3d6.4s.(6D).5d</v>
      </c>
      <c r="B520" t="str">
        <f>"7P"</f>
        <v>7P</v>
      </c>
      <c r="C520" t="str">
        <f>"4"</f>
        <v>4</v>
      </c>
      <c r="D520" t="str">
        <f>""</f>
        <v/>
      </c>
      <c r="E520" t="str">
        <f>"56844.475"</f>
        <v>56844.475</v>
      </c>
      <c r="F520" t="str">
        <f>""</f>
        <v/>
      </c>
      <c r="G520" t="str">
        <f>"0.002"</f>
        <v>0.002</v>
      </c>
      <c r="H520" t="str">
        <f>""</f>
        <v/>
      </c>
      <c r="I520" t="str">
        <f t="shared" si="60"/>
        <v xml:space="preserve">                                                     </v>
      </c>
      <c r="J520" t="str">
        <f>""</f>
        <v/>
      </c>
    </row>
    <row r="521" spans="1:10">
      <c r="A521" s="1" t="str">
        <f t="shared" si="59"/>
        <v>3d6.4s.(6D).5d</v>
      </c>
      <c r="B521" t="str">
        <f>"7P"</f>
        <v>7P</v>
      </c>
      <c r="C521" t="str">
        <f>"2"</f>
        <v>2</v>
      </c>
      <c r="D521" t="str">
        <f>""</f>
        <v/>
      </c>
      <c r="E521" t="str">
        <f>"57291.238"</f>
        <v>57291.238</v>
      </c>
      <c r="F521" t="str">
        <f>""</f>
        <v/>
      </c>
      <c r="G521" t="str">
        <f>"0.002"</f>
        <v>0.002</v>
      </c>
      <c r="H521" t="str">
        <f>""</f>
        <v/>
      </c>
      <c r="I521" t="str">
        <f t="shared" si="60"/>
        <v xml:space="preserve">                                                     </v>
      </c>
      <c r="J521" t="str">
        <f>""</f>
        <v/>
      </c>
    </row>
    <row r="522" spans="1:10">
      <c r="A522" s="1" t="str">
        <f t="shared" si="59"/>
        <v>3d6.4s.(6D).5d</v>
      </c>
      <c r="B522" t="str">
        <f t="shared" ref="B522:B528" si="63">"7G"</f>
        <v>7G</v>
      </c>
      <c r="C522" t="str">
        <f>"7"</f>
        <v>7</v>
      </c>
      <c r="D522" t="str">
        <f>""</f>
        <v/>
      </c>
      <c r="E522" t="str">
        <f>"56536.048"</f>
        <v>56536.048</v>
      </c>
      <c r="F522" t="str">
        <f>""</f>
        <v/>
      </c>
      <c r="G522" t="str">
        <f>"0.003"</f>
        <v>0.003</v>
      </c>
      <c r="H522" t="str">
        <f>""</f>
        <v/>
      </c>
      <c r="I522" t="str">
        <f t="shared" si="60"/>
        <v xml:space="preserve">                                                     </v>
      </c>
      <c r="J522" t="str">
        <f>""</f>
        <v/>
      </c>
    </row>
    <row r="523" spans="1:10">
      <c r="A523" s="1" t="str">
        <f t="shared" si="59"/>
        <v>3d6.4s.(6D).5d</v>
      </c>
      <c r="B523" t="str">
        <f t="shared" si="63"/>
        <v>7G</v>
      </c>
      <c r="C523" t="str">
        <f>"6"</f>
        <v>6</v>
      </c>
      <c r="D523" t="str">
        <f>""</f>
        <v/>
      </c>
      <c r="E523" t="str">
        <f>"56874.916"</f>
        <v>56874.916</v>
      </c>
      <c r="F523" t="str">
        <f>""</f>
        <v/>
      </c>
      <c r="G523" t="str">
        <f>"0.002"</f>
        <v>0.002</v>
      </c>
      <c r="H523" t="str">
        <f>""</f>
        <v/>
      </c>
      <c r="I523" t="str">
        <f t="shared" si="60"/>
        <v xml:space="preserve">                                                     </v>
      </c>
      <c r="J523" t="str">
        <f>""</f>
        <v/>
      </c>
    </row>
    <row r="524" spans="1:10">
      <c r="A524" s="1" t="str">
        <f t="shared" si="59"/>
        <v>3d6.4s.(6D).5d</v>
      </c>
      <c r="B524" t="str">
        <f t="shared" si="63"/>
        <v>7G</v>
      </c>
      <c r="C524" t="str">
        <f>"5"</f>
        <v>5</v>
      </c>
      <c r="D524" t="str">
        <f>""</f>
        <v/>
      </c>
      <c r="E524" t="str">
        <f>"57126.823"</f>
        <v>57126.823</v>
      </c>
      <c r="F524" t="str">
        <f>""</f>
        <v/>
      </c>
      <c r="G524" t="str">
        <f>"0.002"</f>
        <v>0.002</v>
      </c>
      <c r="H524" t="str">
        <f>""</f>
        <v/>
      </c>
      <c r="I524" t="str">
        <f t="shared" si="60"/>
        <v xml:space="preserve">                                                     </v>
      </c>
      <c r="J524" t="str">
        <f>""</f>
        <v/>
      </c>
    </row>
    <row r="525" spans="1:10">
      <c r="A525" s="1" t="str">
        <f t="shared" si="59"/>
        <v>3d6.4s.(6D).5d</v>
      </c>
      <c r="B525" t="str">
        <f t="shared" si="63"/>
        <v>7G</v>
      </c>
      <c r="C525" t="str">
        <f>"4"</f>
        <v>4</v>
      </c>
      <c r="D525" t="str">
        <f>""</f>
        <v/>
      </c>
      <c r="E525" t="str">
        <f>"57155.857"</f>
        <v>57155.857</v>
      </c>
      <c r="F525" t="str">
        <f>""</f>
        <v/>
      </c>
      <c r="G525" t="str">
        <f>"0.001"</f>
        <v>0.001</v>
      </c>
      <c r="H525" t="str">
        <f>""</f>
        <v/>
      </c>
      <c r="I525" t="str">
        <f t="shared" si="60"/>
        <v xml:space="preserve">                                                     </v>
      </c>
      <c r="J525" t="str">
        <f>""</f>
        <v/>
      </c>
    </row>
    <row r="526" spans="1:10">
      <c r="A526" s="1" t="str">
        <f t="shared" si="59"/>
        <v>3d6.4s.(6D).5d</v>
      </c>
      <c r="B526" t="str">
        <f t="shared" si="63"/>
        <v>7G</v>
      </c>
      <c r="C526" t="str">
        <f>"1"</f>
        <v>1</v>
      </c>
      <c r="D526" t="str">
        <f>""</f>
        <v/>
      </c>
      <c r="E526" t="str">
        <f>"57320.347"</f>
        <v>57320.347</v>
      </c>
      <c r="F526" t="str">
        <f>""</f>
        <v/>
      </c>
      <c r="G526" t="str">
        <f>"0.003"</f>
        <v>0.003</v>
      </c>
      <c r="H526" t="str">
        <f>""</f>
        <v/>
      </c>
      <c r="I526" t="str">
        <f t="shared" si="60"/>
        <v xml:space="preserve">                                                     </v>
      </c>
      <c r="J526" t="str">
        <f>""</f>
        <v/>
      </c>
    </row>
    <row r="527" spans="1:10">
      <c r="A527" s="1" t="str">
        <f t="shared" si="59"/>
        <v>3d6.4s.(6D).5d</v>
      </c>
      <c r="B527" t="str">
        <f t="shared" si="63"/>
        <v>7G</v>
      </c>
      <c r="C527" t="str">
        <f>"3"</f>
        <v>3</v>
      </c>
      <c r="D527" t="str">
        <f>""</f>
        <v/>
      </c>
      <c r="E527" t="str">
        <f>"57361.366"</f>
        <v>57361.366</v>
      </c>
      <c r="F527" t="str">
        <f>""</f>
        <v/>
      </c>
      <c r="G527" t="str">
        <f>"0.002"</f>
        <v>0.002</v>
      </c>
      <c r="H527" t="str">
        <f>""</f>
        <v/>
      </c>
      <c r="I527" t="str">
        <f t="shared" si="60"/>
        <v xml:space="preserve">                                                     </v>
      </c>
      <c r="J527" t="str">
        <f>""</f>
        <v/>
      </c>
    </row>
    <row r="528" spans="1:10">
      <c r="A528" s="1" t="str">
        <f t="shared" si="59"/>
        <v>3d6.4s.(6D).5d</v>
      </c>
      <c r="B528" t="str">
        <f t="shared" si="63"/>
        <v>7G</v>
      </c>
      <c r="C528" t="str">
        <f>"2"</f>
        <v>2</v>
      </c>
      <c r="D528" t="str">
        <f>""</f>
        <v/>
      </c>
      <c r="E528" t="str">
        <f>"57450.664"</f>
        <v>57450.664</v>
      </c>
      <c r="F528" t="str">
        <f>""</f>
        <v/>
      </c>
      <c r="G528" t="str">
        <f>"0.002"</f>
        <v>0.002</v>
      </c>
      <c r="H528" t="str">
        <f>""</f>
        <v/>
      </c>
      <c r="I528" t="str">
        <f t="shared" si="60"/>
        <v xml:space="preserve">                                                     </v>
      </c>
      <c r="J528" t="str">
        <f>""</f>
        <v/>
      </c>
    </row>
    <row r="529" spans="1:10">
      <c r="A529" s="1" t="str">
        <f>"3d6.4s.(6D).6p"</f>
        <v>3d6.4s.(6D).6p</v>
      </c>
      <c r="B529" t="str">
        <f>"7P*"</f>
        <v>7P*</v>
      </c>
      <c r="C529" t="str">
        <f>"4"</f>
        <v>4</v>
      </c>
      <c r="D529" t="str">
        <f>""</f>
        <v/>
      </c>
      <c r="E529" t="str">
        <f>"56541.596"</f>
        <v>56541.596</v>
      </c>
      <c r="F529" t="str">
        <f>""</f>
        <v/>
      </c>
      <c r="G529" t="str">
        <f>"0.003"</f>
        <v>0.003</v>
      </c>
      <c r="H529" t="str">
        <f>""</f>
        <v/>
      </c>
      <c r="I529" t="str">
        <f t="shared" si="60"/>
        <v xml:space="preserve">                                                     </v>
      </c>
      <c r="J529" t="str">
        <f>""</f>
        <v/>
      </c>
    </row>
    <row r="530" spans="1:10">
      <c r="A530" s="1" t="str">
        <f>"3d6.4s.(6D).6p"</f>
        <v>3d6.4s.(6D).6p</v>
      </c>
      <c r="B530" t="str">
        <f>"7P*"</f>
        <v>7P*</v>
      </c>
      <c r="C530" t="str">
        <f>"3"</f>
        <v>3</v>
      </c>
      <c r="D530" t="str">
        <f>""</f>
        <v/>
      </c>
      <c r="E530" t="str">
        <f>"56888.423"</f>
        <v>56888.423</v>
      </c>
      <c r="F530" t="str">
        <f>""</f>
        <v/>
      </c>
      <c r="G530" t="str">
        <f>"0.002"</f>
        <v>0.002</v>
      </c>
      <c r="H530" t="str">
        <f>""</f>
        <v/>
      </c>
      <c r="I530" t="str">
        <f t="shared" si="60"/>
        <v xml:space="preserve">                                                     </v>
      </c>
      <c r="J530" t="str">
        <f>""</f>
        <v/>
      </c>
    </row>
    <row r="531" spans="1:10">
      <c r="A531" s="1" t="str">
        <f>"3d6.4s.(6D).6p"</f>
        <v>3d6.4s.(6D).6p</v>
      </c>
      <c r="B531" t="str">
        <f>"7P*"</f>
        <v>7P*</v>
      </c>
      <c r="C531" t="str">
        <f>"2"</f>
        <v>2</v>
      </c>
      <c r="D531" t="str">
        <f>""</f>
        <v/>
      </c>
      <c r="E531" t="str">
        <f>"57190.212"</f>
        <v>57190.212</v>
      </c>
      <c r="F531" t="str">
        <f>""</f>
        <v/>
      </c>
      <c r="G531" t="str">
        <f>"0.002"</f>
        <v>0.002</v>
      </c>
      <c r="H531" t="str">
        <f>""</f>
        <v/>
      </c>
      <c r="I531" t="str">
        <f t="shared" si="60"/>
        <v xml:space="preserve">                                                     </v>
      </c>
      <c r="J531" t="str">
        <f>""</f>
        <v/>
      </c>
    </row>
    <row r="532" spans="1:10">
      <c r="A532" s="1" t="str">
        <f>"3d6.(1G2).4s.4p.(3P*)"</f>
        <v>3d6.(1G2).4s.4p.(3P*)</v>
      </c>
      <c r="B532" t="str">
        <f>"u 3F*"</f>
        <v>u 3F*</v>
      </c>
      <c r="C532" t="str">
        <f>"4"</f>
        <v>4</v>
      </c>
      <c r="D532" t="str">
        <f>""</f>
        <v/>
      </c>
      <c r="E532" t="str">
        <f>"56592.703"</f>
        <v>56592.703</v>
      </c>
      <c r="F532" t="str">
        <f>""</f>
        <v/>
      </c>
      <c r="G532" t="str">
        <f>"0.002"</f>
        <v>0.002</v>
      </c>
      <c r="H532" t="str">
        <f>"1.148"</f>
        <v>1.148</v>
      </c>
      <c r="I532" t="str">
        <f>"  47             :    17  3d7.(2D2).4p          3F*  "</f>
        <v xml:space="preserve">  47             :    17  3d7.(2D2).4p          3F*  </v>
      </c>
      <c r="J532" t="str">
        <f>""</f>
        <v/>
      </c>
    </row>
    <row r="533" spans="1:10">
      <c r="A533" s="1" t="str">
        <f>"3d6.(1G2).4s.4p.(3P*)"</f>
        <v>3d6.(1G2).4s.4p.(3P*)</v>
      </c>
      <c r="B533" t="str">
        <f>"u 3F*"</f>
        <v>u 3F*</v>
      </c>
      <c r="C533" t="str">
        <f>"3"</f>
        <v>3</v>
      </c>
      <c r="D533" t="str">
        <f>""</f>
        <v/>
      </c>
      <c r="E533" t="str">
        <f>"56783.322"</f>
        <v>56783.322</v>
      </c>
      <c r="F533" t="str">
        <f>""</f>
        <v/>
      </c>
      <c r="G533" t="str">
        <f>"0.002"</f>
        <v>0.002</v>
      </c>
      <c r="H533" t="str">
        <f>"1.077"</f>
        <v>1.077</v>
      </c>
      <c r="I533" t="str">
        <f>"  54             :    20  3d7.(2D2).4p          3F*  "</f>
        <v xml:space="preserve">  54             :    20  3d7.(2D2).4p          3F*  </v>
      </c>
      <c r="J533" t="str">
        <f>""</f>
        <v/>
      </c>
    </row>
    <row r="534" spans="1:10">
      <c r="A534" s="1" t="str">
        <f>"3d6.(1G2).4s.4p.(3P*)"</f>
        <v>3d6.(1G2).4s.4p.(3P*)</v>
      </c>
      <c r="B534" t="str">
        <f>"u 3F*"</f>
        <v>u 3F*</v>
      </c>
      <c r="C534" t="str">
        <f>"2"</f>
        <v>2</v>
      </c>
      <c r="D534" t="str">
        <f>""</f>
        <v/>
      </c>
      <c r="E534" t="str">
        <f>"56858.653"</f>
        <v>56858.653</v>
      </c>
      <c r="F534" t="str">
        <f>""</f>
        <v/>
      </c>
      <c r="G534" t="str">
        <f>"0.003"</f>
        <v>0.003</v>
      </c>
      <c r="H534" t="str">
        <f>"0.687"</f>
        <v>0.687</v>
      </c>
      <c r="I534" t="str">
        <f>"  47             :    26  3d7.(2D2).4p          3F*  "</f>
        <v xml:space="preserve">  47             :    26  3d7.(2D2).4p          3F*  </v>
      </c>
      <c r="J534" t="str">
        <f>""</f>
        <v/>
      </c>
    </row>
    <row r="535" spans="1:10">
      <c r="A535" s="1" t="str">
        <f>"3d6.4s.(6D).6p"</f>
        <v>3d6.4s.(6D).6p</v>
      </c>
      <c r="B535" t="str">
        <f>"5F*"</f>
        <v>5F*</v>
      </c>
      <c r="C535" t="str">
        <f>"5"</f>
        <v>5</v>
      </c>
      <c r="D535" t="str">
        <f>""</f>
        <v/>
      </c>
      <c r="E535" t="str">
        <f>"56707.284"</f>
        <v>56707.284</v>
      </c>
      <c r="F535" t="str">
        <f>""</f>
        <v/>
      </c>
      <c r="G535" t="str">
        <f>"0.002"</f>
        <v>0.002</v>
      </c>
      <c r="H535" t="str">
        <f>""</f>
        <v/>
      </c>
      <c r="I535" t="str">
        <f t="shared" ref="I535:I570" si="64">"                                                     "</f>
        <v xml:space="preserve">                                                     </v>
      </c>
      <c r="J535" t="str">
        <f>""</f>
        <v/>
      </c>
    </row>
    <row r="536" spans="1:10">
      <c r="A536" s="1" t="str">
        <f>"3d6.4s.(6D).6p"</f>
        <v>3d6.4s.(6D).6p</v>
      </c>
      <c r="B536" t="str">
        <f>"5F*"</f>
        <v>5F*</v>
      </c>
      <c r="C536" t="str">
        <f>"4"</f>
        <v>4</v>
      </c>
      <c r="D536" t="str">
        <f>""</f>
        <v/>
      </c>
      <c r="E536" t="str">
        <f>"57064.346"</f>
        <v>57064.346</v>
      </c>
      <c r="F536" t="str">
        <f>""</f>
        <v/>
      </c>
      <c r="G536" t="str">
        <f>"0.003"</f>
        <v>0.003</v>
      </c>
      <c r="H536" t="str">
        <f>""</f>
        <v/>
      </c>
      <c r="I536" t="str">
        <f t="shared" si="64"/>
        <v xml:space="preserve">                                                     </v>
      </c>
      <c r="J536" t="str">
        <f>""</f>
        <v/>
      </c>
    </row>
    <row r="537" spans="1:10">
      <c r="A537" s="1" t="str">
        <f>"3d6.4s.(6D).6p"</f>
        <v>3d6.4s.(6D).6p</v>
      </c>
      <c r="B537" t="str">
        <f>"5F*"</f>
        <v>5F*</v>
      </c>
      <c r="C537" t="str">
        <f>"3"</f>
        <v>3</v>
      </c>
      <c r="D537" t="str">
        <f>""</f>
        <v/>
      </c>
      <c r="E537" t="str">
        <f>"57343.828"</f>
        <v>57343.828</v>
      </c>
      <c r="F537" t="str">
        <f>""</f>
        <v/>
      </c>
      <c r="G537" t="str">
        <f>"0.002"</f>
        <v>0.002</v>
      </c>
      <c r="H537" t="str">
        <f>""</f>
        <v/>
      </c>
      <c r="I537" t="str">
        <f t="shared" si="64"/>
        <v xml:space="preserve">                                                     </v>
      </c>
      <c r="J537" t="str">
        <f>""</f>
        <v/>
      </c>
    </row>
    <row r="538" spans="1:10">
      <c r="A538" s="1" t="str">
        <f>"3d6.4s.(6D).6p"</f>
        <v>3d6.4s.(6D).6p</v>
      </c>
      <c r="B538" t="str">
        <f>"5F*"</f>
        <v>5F*</v>
      </c>
      <c r="C538" t="str">
        <f>"1"</f>
        <v>1</v>
      </c>
      <c r="D538" t="str">
        <f>""</f>
        <v/>
      </c>
      <c r="E538" t="str">
        <f>"57546.481"</f>
        <v>57546.481</v>
      </c>
      <c r="F538" t="str">
        <f>""</f>
        <v/>
      </c>
      <c r="G538" t="str">
        <f>"0.003"</f>
        <v>0.003</v>
      </c>
      <c r="H538" t="str">
        <f>""</f>
        <v/>
      </c>
      <c r="I538" t="str">
        <f t="shared" si="64"/>
        <v xml:space="preserve">                                                     </v>
      </c>
      <c r="J538" t="str">
        <f>""</f>
        <v/>
      </c>
    </row>
    <row r="539" spans="1:10">
      <c r="A539" s="1" t="str">
        <f>"3d6.4s.(6D).6p"</f>
        <v>3d6.4s.(6D).6p</v>
      </c>
      <c r="B539" t="str">
        <f>"5F*"</f>
        <v>5F*</v>
      </c>
      <c r="C539" t="str">
        <f>"2"</f>
        <v>2</v>
      </c>
      <c r="D539" t="str">
        <f>""</f>
        <v/>
      </c>
      <c r="E539" t="str">
        <f>"57572.513"</f>
        <v>57572.513</v>
      </c>
      <c r="F539" t="str">
        <f>""</f>
        <v/>
      </c>
      <c r="G539" t="str">
        <f>"0.002"</f>
        <v>0.002</v>
      </c>
      <c r="H539" t="str">
        <f>""</f>
        <v/>
      </c>
      <c r="I539" t="str">
        <f t="shared" si="64"/>
        <v xml:space="preserve">                                                     </v>
      </c>
      <c r="J539" t="str">
        <f>""</f>
        <v/>
      </c>
    </row>
    <row r="540" spans="1:10">
      <c r="A540" s="1" t="str">
        <f t="shared" ref="A540:A545" si="65">"3d6.4s.(6D).5d"</f>
        <v>3d6.4s.(6D).5d</v>
      </c>
      <c r="B540" t="str">
        <f>"5S"</f>
        <v>5S</v>
      </c>
      <c r="C540" t="str">
        <f>"2"</f>
        <v>2</v>
      </c>
      <c r="D540" t="str">
        <f>""</f>
        <v/>
      </c>
      <c r="E540" t="str">
        <f>"56720.409"</f>
        <v>56720.409</v>
      </c>
      <c r="F540" t="str">
        <f>""</f>
        <v/>
      </c>
      <c r="G540" t="str">
        <f>"0.002"</f>
        <v>0.002</v>
      </c>
      <c r="H540" t="str">
        <f>""</f>
        <v/>
      </c>
      <c r="I540" t="str">
        <f t="shared" si="64"/>
        <v xml:space="preserve">                                                     </v>
      </c>
      <c r="J540" t="str">
        <f>""</f>
        <v/>
      </c>
    </row>
    <row r="541" spans="1:10">
      <c r="A541" s="1" t="str">
        <f t="shared" si="65"/>
        <v>3d6.4s.(6D).5d</v>
      </c>
      <c r="B541" t="str">
        <f>"5F"</f>
        <v>5F</v>
      </c>
      <c r="C541" t="str">
        <f>"3"</f>
        <v>3</v>
      </c>
      <c r="D541" t="str">
        <f>""</f>
        <v/>
      </c>
      <c r="E541" t="str">
        <f>"56726.892"</f>
        <v>56726.892</v>
      </c>
      <c r="F541" t="str">
        <f>""</f>
        <v/>
      </c>
      <c r="G541" t="str">
        <f>"0.001"</f>
        <v>0.001</v>
      </c>
      <c r="H541" t="str">
        <f>""</f>
        <v/>
      </c>
      <c r="I541" t="str">
        <f t="shared" si="64"/>
        <v xml:space="preserve">                                                     </v>
      </c>
      <c r="J541" t="str">
        <f>""</f>
        <v/>
      </c>
    </row>
    <row r="542" spans="1:10">
      <c r="A542" s="1" t="str">
        <f t="shared" si="65"/>
        <v>3d6.4s.(6D).5d</v>
      </c>
      <c r="B542" t="str">
        <f>"5F"</f>
        <v>5F</v>
      </c>
      <c r="C542" t="str">
        <f>"5"</f>
        <v>5</v>
      </c>
      <c r="D542" t="str">
        <f>""</f>
        <v/>
      </c>
      <c r="E542" t="str">
        <f>"56761.878"</f>
        <v>56761.878</v>
      </c>
      <c r="F542" t="str">
        <f>""</f>
        <v/>
      </c>
      <c r="G542" t="str">
        <f t="shared" ref="G542:G547" si="66">"0.002"</f>
        <v>0.002</v>
      </c>
      <c r="H542" t="str">
        <f>""</f>
        <v/>
      </c>
      <c r="I542" t="str">
        <f t="shared" si="64"/>
        <v xml:space="preserve">                                                     </v>
      </c>
      <c r="J542" t="str">
        <f>""</f>
        <v/>
      </c>
    </row>
    <row r="543" spans="1:10">
      <c r="A543" s="1" t="str">
        <f t="shared" si="65"/>
        <v>3d6.4s.(6D).5d</v>
      </c>
      <c r="B543" t="str">
        <f>"5F"</f>
        <v>5F</v>
      </c>
      <c r="C543" t="str">
        <f>"2"</f>
        <v>2</v>
      </c>
      <c r="D543" t="str">
        <f>""</f>
        <v/>
      </c>
      <c r="E543" t="str">
        <f>"56952.213"</f>
        <v>56952.213</v>
      </c>
      <c r="F543" t="str">
        <f>""</f>
        <v/>
      </c>
      <c r="G543" t="str">
        <f t="shared" si="66"/>
        <v>0.002</v>
      </c>
      <c r="H543" t="str">
        <f>""</f>
        <v/>
      </c>
      <c r="I543" t="str">
        <f t="shared" si="64"/>
        <v xml:space="preserve">                                                     </v>
      </c>
      <c r="J543" t="str">
        <f>""</f>
        <v/>
      </c>
    </row>
    <row r="544" spans="1:10">
      <c r="A544" s="1" t="str">
        <f t="shared" si="65"/>
        <v>3d6.4s.(6D).5d</v>
      </c>
      <c r="B544" t="str">
        <f>"5F"</f>
        <v>5F</v>
      </c>
      <c r="C544" t="str">
        <f>"1"</f>
        <v>1</v>
      </c>
      <c r="D544" t="str">
        <f>""</f>
        <v/>
      </c>
      <c r="E544" t="str">
        <f>"57077.843"</f>
        <v>57077.843</v>
      </c>
      <c r="F544" t="str">
        <f>""</f>
        <v/>
      </c>
      <c r="G544" t="str">
        <f t="shared" si="66"/>
        <v>0.002</v>
      </c>
      <c r="H544" t="str">
        <f>""</f>
        <v/>
      </c>
      <c r="I544" t="str">
        <f t="shared" si="64"/>
        <v xml:space="preserve">                                                     </v>
      </c>
      <c r="J544" t="str">
        <f>""</f>
        <v/>
      </c>
    </row>
    <row r="545" spans="1:10">
      <c r="A545" s="1" t="str">
        <f t="shared" si="65"/>
        <v>3d6.4s.(6D).5d</v>
      </c>
      <c r="B545" t="str">
        <f>"5F"</f>
        <v>5F</v>
      </c>
      <c r="C545" t="str">
        <f>"4"</f>
        <v>4</v>
      </c>
      <c r="D545" t="str">
        <f>""</f>
        <v/>
      </c>
      <c r="E545" t="str">
        <f>"57125.250"</f>
        <v>57125.250</v>
      </c>
      <c r="F545" t="str">
        <f>""</f>
        <v/>
      </c>
      <c r="G545" t="str">
        <f t="shared" si="66"/>
        <v>0.002</v>
      </c>
      <c r="H545" t="str">
        <f>""</f>
        <v/>
      </c>
      <c r="I545" t="str">
        <f t="shared" si="64"/>
        <v xml:space="preserve">                                                     </v>
      </c>
      <c r="J545" t="str">
        <f>""</f>
        <v/>
      </c>
    </row>
    <row r="546" spans="1:10">
      <c r="A546" s="1" t="str">
        <f>"3d6.4s.(6D).6p"</f>
        <v>3d6.4s.(6D).6p</v>
      </c>
      <c r="B546" t="str">
        <f>"5D*"</f>
        <v>5D*</v>
      </c>
      <c r="C546" t="str">
        <f>"4"</f>
        <v>4</v>
      </c>
      <c r="D546" t="str">
        <f>""</f>
        <v/>
      </c>
      <c r="E546" t="str">
        <f>"56732.335"</f>
        <v>56732.335</v>
      </c>
      <c r="F546" t="str">
        <f>""</f>
        <v/>
      </c>
      <c r="G546" t="str">
        <f t="shared" si="66"/>
        <v>0.002</v>
      </c>
      <c r="H546" t="str">
        <f>""</f>
        <v/>
      </c>
      <c r="I546" t="str">
        <f t="shared" si="64"/>
        <v xml:space="preserve">                                                     </v>
      </c>
      <c r="J546" t="str">
        <f>""</f>
        <v/>
      </c>
    </row>
    <row r="547" spans="1:10">
      <c r="A547" s="1" t="str">
        <f>"3d6.4s.(6D).6p"</f>
        <v>3d6.4s.(6D).6p</v>
      </c>
      <c r="B547" t="str">
        <f>"5D*"</f>
        <v>5D*</v>
      </c>
      <c r="C547" t="str">
        <f>"3"</f>
        <v>3</v>
      </c>
      <c r="D547" t="str">
        <f>""</f>
        <v/>
      </c>
      <c r="E547" t="str">
        <f>"57168.531"</f>
        <v>57168.531</v>
      </c>
      <c r="F547" t="str">
        <f>""</f>
        <v/>
      </c>
      <c r="G547" t="str">
        <f t="shared" si="66"/>
        <v>0.002</v>
      </c>
      <c r="H547" t="str">
        <f>""</f>
        <v/>
      </c>
      <c r="I547" t="str">
        <f t="shared" si="64"/>
        <v xml:space="preserve">                                                     </v>
      </c>
      <c r="J547" t="str">
        <f>""</f>
        <v/>
      </c>
    </row>
    <row r="548" spans="1:10">
      <c r="A548" s="1" t="str">
        <f>"3d6.4s.(6D).6p"</f>
        <v>3d6.4s.(6D).6p</v>
      </c>
      <c r="B548" t="str">
        <f>"5D*"</f>
        <v>5D*</v>
      </c>
      <c r="C548" t="str">
        <f>"1"</f>
        <v>1</v>
      </c>
      <c r="D548" t="str">
        <f>""</f>
        <v/>
      </c>
      <c r="E548" t="str">
        <f>"57401.144"</f>
        <v>57401.144</v>
      </c>
      <c r="F548" t="str">
        <f>""</f>
        <v/>
      </c>
      <c r="G548" t="str">
        <f>"0.003"</f>
        <v>0.003</v>
      </c>
      <c r="H548" t="str">
        <f>""</f>
        <v/>
      </c>
      <c r="I548" t="str">
        <f t="shared" si="64"/>
        <v xml:space="preserve">                                                     </v>
      </c>
      <c r="J548" t="str">
        <f>""</f>
        <v/>
      </c>
    </row>
    <row r="549" spans="1:10">
      <c r="A549" s="1" t="str">
        <f>"3d6.4s.(6D).6p"</f>
        <v>3d6.4s.(6D).6p</v>
      </c>
      <c r="B549" t="str">
        <f>"5D*"</f>
        <v>5D*</v>
      </c>
      <c r="C549" t="str">
        <f>"2"</f>
        <v>2</v>
      </c>
      <c r="D549" t="str">
        <f>""</f>
        <v/>
      </c>
      <c r="E549" t="str">
        <f>"57415.757"</f>
        <v>57415.757</v>
      </c>
      <c r="F549" t="str">
        <f>""</f>
        <v/>
      </c>
      <c r="G549" t="str">
        <f>"0.001"</f>
        <v>0.001</v>
      </c>
      <c r="H549" t="str">
        <f>""</f>
        <v/>
      </c>
      <c r="I549" t="str">
        <f t="shared" si="64"/>
        <v xml:space="preserve">                                                     </v>
      </c>
      <c r="J549" t="str">
        <f>""</f>
        <v/>
      </c>
    </row>
    <row r="550" spans="1:10">
      <c r="A550" s="1" t="str">
        <f>"3d6.4s.(6D).6p"</f>
        <v>3d6.4s.(6D).6p</v>
      </c>
      <c r="B550" t="str">
        <f>"5D*"</f>
        <v>5D*</v>
      </c>
      <c r="C550" t="str">
        <f>"0"</f>
        <v>0</v>
      </c>
      <c r="D550" t="str">
        <f>""</f>
        <v/>
      </c>
      <c r="E550" t="str">
        <f>"57610.719"</f>
        <v>57610.719</v>
      </c>
      <c r="F550" t="str">
        <f>""</f>
        <v/>
      </c>
      <c r="G550" t="str">
        <f>"0.002"</f>
        <v>0.002</v>
      </c>
      <c r="H550" t="str">
        <f>""</f>
        <v/>
      </c>
      <c r="I550" t="str">
        <f t="shared" si="64"/>
        <v xml:space="preserve">                                                     </v>
      </c>
      <c r="J550" t="str">
        <f>""</f>
        <v/>
      </c>
    </row>
    <row r="551" spans="1:10">
      <c r="A551" s="1" t="str">
        <f t="shared" ref="A551:A564" si="67">"3d6.4s.(6D&lt;9/2&gt;).4f"</f>
        <v>3d6.4s.(6D&lt;9/2&gt;).4f</v>
      </c>
      <c r="B551" t="str">
        <f>"2[11/2]*"</f>
        <v>2[11/2]*</v>
      </c>
      <c r="C551" t="str">
        <f>"6"</f>
        <v>6</v>
      </c>
      <c r="D551" t="str">
        <f>""</f>
        <v/>
      </c>
      <c r="E551" t="str">
        <f>"56748.901"</f>
        <v>56748.901</v>
      </c>
      <c r="F551" t="str">
        <f>""</f>
        <v/>
      </c>
      <c r="G551" t="str">
        <f>"0.001"</f>
        <v>0.001</v>
      </c>
      <c r="H551" t="str">
        <f>""</f>
        <v/>
      </c>
      <c r="I551" t="str">
        <f t="shared" si="64"/>
        <v xml:space="preserve">                                                     </v>
      </c>
      <c r="J551" t="str">
        <f>""</f>
        <v/>
      </c>
    </row>
    <row r="552" spans="1:10">
      <c r="A552" s="1" t="str">
        <f t="shared" si="67"/>
        <v>3d6.4s.(6D&lt;9/2&gt;).4f</v>
      </c>
      <c r="B552" t="str">
        <f>"2[11/2]*"</f>
        <v>2[11/2]*</v>
      </c>
      <c r="C552" t="str">
        <f>"5"</f>
        <v>5</v>
      </c>
      <c r="D552" t="str">
        <f>""</f>
        <v/>
      </c>
      <c r="E552" t="str">
        <f>"56751.099"</f>
        <v>56751.099</v>
      </c>
      <c r="F552" t="str">
        <f>""</f>
        <v/>
      </c>
      <c r="G552" t="str">
        <f>"0.001"</f>
        <v>0.001</v>
      </c>
      <c r="H552" t="str">
        <f>""</f>
        <v/>
      </c>
      <c r="I552" t="str">
        <f t="shared" si="64"/>
        <v xml:space="preserve">                                                     </v>
      </c>
      <c r="J552" t="str">
        <f>""</f>
        <v/>
      </c>
    </row>
    <row r="553" spans="1:10">
      <c r="A553" s="1" t="str">
        <f t="shared" si="67"/>
        <v>3d6.4s.(6D&lt;9/2&gt;).4f</v>
      </c>
      <c r="B553" t="str">
        <f>"2[13/2]*"</f>
        <v>2[13/2]*</v>
      </c>
      <c r="C553" t="str">
        <f>"7"</f>
        <v>7</v>
      </c>
      <c r="D553" t="str">
        <f>""</f>
        <v/>
      </c>
      <c r="E553" t="str">
        <f>"56754.132"</f>
        <v>56754.132</v>
      </c>
      <c r="F553" t="str">
        <f>""</f>
        <v/>
      </c>
      <c r="G553" t="str">
        <f>"0.002"</f>
        <v>0.002</v>
      </c>
      <c r="H553" t="str">
        <f>""</f>
        <v/>
      </c>
      <c r="I553" t="str">
        <f t="shared" si="64"/>
        <v xml:space="preserve">                                                     </v>
      </c>
      <c r="J553" t="str">
        <f>""</f>
        <v/>
      </c>
    </row>
    <row r="554" spans="1:10">
      <c r="A554" s="1" t="str">
        <f t="shared" si="67"/>
        <v>3d6.4s.(6D&lt;9/2&gt;).4f</v>
      </c>
      <c r="B554" t="str">
        <f>"2[13/2]*"</f>
        <v>2[13/2]*</v>
      </c>
      <c r="C554" t="str">
        <f>"6"</f>
        <v>6</v>
      </c>
      <c r="D554" t="str">
        <f>""</f>
        <v/>
      </c>
      <c r="E554" t="str">
        <f>"56756.503"</f>
        <v>56756.503</v>
      </c>
      <c r="F554" t="str">
        <f>""</f>
        <v/>
      </c>
      <c r="G554" t="str">
        <f>"0.002"</f>
        <v>0.002</v>
      </c>
      <c r="H554" t="str">
        <f>""</f>
        <v/>
      </c>
      <c r="I554" t="str">
        <f t="shared" si="64"/>
        <v xml:space="preserve">                                                     </v>
      </c>
      <c r="J554" t="str">
        <f>""</f>
        <v/>
      </c>
    </row>
    <row r="555" spans="1:10">
      <c r="A555" s="1" t="str">
        <f t="shared" si="67"/>
        <v>3d6.4s.(6D&lt;9/2&gt;).4f</v>
      </c>
      <c r="B555" t="str">
        <f>"2[9/2]*"</f>
        <v>2[9/2]*</v>
      </c>
      <c r="C555" t="str">
        <f>"5"</f>
        <v>5</v>
      </c>
      <c r="D555" t="str">
        <f>""</f>
        <v/>
      </c>
      <c r="E555" t="str">
        <f>"56754.726"</f>
        <v>56754.726</v>
      </c>
      <c r="F555" t="str">
        <f>""</f>
        <v/>
      </c>
      <c r="G555" t="str">
        <f t="shared" ref="G555:G560" si="68">"0.001"</f>
        <v>0.001</v>
      </c>
      <c r="H555" t="str">
        <f>""</f>
        <v/>
      </c>
      <c r="I555" t="str">
        <f t="shared" si="64"/>
        <v xml:space="preserve">                                                     </v>
      </c>
      <c r="J555" t="str">
        <f>""</f>
        <v/>
      </c>
    </row>
    <row r="556" spans="1:10">
      <c r="A556" s="1" t="str">
        <f t="shared" si="67"/>
        <v>3d6.4s.(6D&lt;9/2&gt;).4f</v>
      </c>
      <c r="B556" t="str">
        <f>"2[9/2]*"</f>
        <v>2[9/2]*</v>
      </c>
      <c r="C556" t="str">
        <f>"4"</f>
        <v>4</v>
      </c>
      <c r="D556" t="str">
        <f>""</f>
        <v/>
      </c>
      <c r="E556" t="str">
        <f>"56754.932"</f>
        <v>56754.932</v>
      </c>
      <c r="F556" t="str">
        <f>""</f>
        <v/>
      </c>
      <c r="G556" t="str">
        <f t="shared" si="68"/>
        <v>0.001</v>
      </c>
      <c r="H556" t="str">
        <f>""</f>
        <v/>
      </c>
      <c r="I556" t="str">
        <f t="shared" si="64"/>
        <v xml:space="preserve">                                                     </v>
      </c>
      <c r="J556" t="str">
        <f>""</f>
        <v/>
      </c>
    </row>
    <row r="557" spans="1:10">
      <c r="A557" s="1" t="str">
        <f t="shared" si="67"/>
        <v>3d6.4s.(6D&lt;9/2&gt;).4f</v>
      </c>
      <c r="B557" t="str">
        <f>"2[7/2]*"</f>
        <v>2[7/2]*</v>
      </c>
      <c r="C557" t="str">
        <f>"4"</f>
        <v>4</v>
      </c>
      <c r="D557" t="str">
        <f>""</f>
        <v/>
      </c>
      <c r="E557" t="str">
        <f>"56764.767"</f>
        <v>56764.767</v>
      </c>
      <c r="F557" t="str">
        <f>""</f>
        <v/>
      </c>
      <c r="G557" t="str">
        <f t="shared" si="68"/>
        <v>0.001</v>
      </c>
      <c r="H557" t="str">
        <f>""</f>
        <v/>
      </c>
      <c r="I557" t="str">
        <f t="shared" si="64"/>
        <v xml:space="preserve">                                                     </v>
      </c>
      <c r="J557" t="str">
        <f>""</f>
        <v/>
      </c>
    </row>
    <row r="558" spans="1:10">
      <c r="A558" s="1" t="str">
        <f t="shared" si="67"/>
        <v>3d6.4s.(6D&lt;9/2&gt;).4f</v>
      </c>
      <c r="B558" t="str">
        <f>"2[7/2]*"</f>
        <v>2[7/2]*</v>
      </c>
      <c r="C558" t="str">
        <f>"3"</f>
        <v>3</v>
      </c>
      <c r="D558" t="str">
        <f>""</f>
        <v/>
      </c>
      <c r="E558" t="str">
        <f>"56766.053"</f>
        <v>56766.053</v>
      </c>
      <c r="F558" t="str">
        <f>""</f>
        <v/>
      </c>
      <c r="G558" t="str">
        <f t="shared" si="68"/>
        <v>0.001</v>
      </c>
      <c r="H558" t="str">
        <f>""</f>
        <v/>
      </c>
      <c r="I558" t="str">
        <f t="shared" si="64"/>
        <v xml:space="preserve">                                                     </v>
      </c>
      <c r="J558" t="str">
        <f>""</f>
        <v/>
      </c>
    </row>
    <row r="559" spans="1:10">
      <c r="A559" s="1" t="str">
        <f t="shared" si="67"/>
        <v>3d6.4s.(6D&lt;9/2&gt;).4f</v>
      </c>
      <c r="B559" t="str">
        <f>"2[5/2]*"</f>
        <v>2[5/2]*</v>
      </c>
      <c r="C559" t="str">
        <f>"3"</f>
        <v>3</v>
      </c>
      <c r="D559" t="str">
        <f>""</f>
        <v/>
      </c>
      <c r="E559" t="str">
        <f>"56777.262"</f>
        <v>56777.262</v>
      </c>
      <c r="F559" t="str">
        <f>""</f>
        <v/>
      </c>
      <c r="G559" t="str">
        <f t="shared" si="68"/>
        <v>0.001</v>
      </c>
      <c r="H559" t="str">
        <f>""</f>
        <v/>
      </c>
      <c r="I559" t="str">
        <f t="shared" si="64"/>
        <v xml:space="preserve">                                                     </v>
      </c>
      <c r="J559" t="str">
        <f>""</f>
        <v/>
      </c>
    </row>
    <row r="560" spans="1:10">
      <c r="A560" s="1" t="str">
        <f t="shared" si="67"/>
        <v>3d6.4s.(6D&lt;9/2&gt;).4f</v>
      </c>
      <c r="B560" t="str">
        <f>"2[5/2]*"</f>
        <v>2[5/2]*</v>
      </c>
      <c r="C560" t="str">
        <f>"2"</f>
        <v>2</v>
      </c>
      <c r="D560" t="str">
        <f>""</f>
        <v/>
      </c>
      <c r="E560" t="str">
        <f>"56779.538"</f>
        <v>56779.538</v>
      </c>
      <c r="F560" t="str">
        <f>""</f>
        <v/>
      </c>
      <c r="G560" t="str">
        <f t="shared" si="68"/>
        <v>0.001</v>
      </c>
      <c r="H560" t="str">
        <f>""</f>
        <v/>
      </c>
      <c r="I560" t="str">
        <f t="shared" si="64"/>
        <v xml:space="preserve">                                                     </v>
      </c>
      <c r="J560" t="str">
        <f>""</f>
        <v/>
      </c>
    </row>
    <row r="561" spans="1:10">
      <c r="A561" s="1" t="str">
        <f t="shared" si="67"/>
        <v>3d6.4s.(6D&lt;9/2&gt;).4f</v>
      </c>
      <c r="B561" t="str">
        <f>"2[15/2]*"</f>
        <v>2[15/2]*</v>
      </c>
      <c r="C561" t="str">
        <f>"7"</f>
        <v>7</v>
      </c>
      <c r="D561" t="str">
        <f>""</f>
        <v/>
      </c>
      <c r="E561" t="str">
        <f>"56778.773"</f>
        <v>56778.773</v>
      </c>
      <c r="F561" t="str">
        <f>""</f>
        <v/>
      </c>
      <c r="G561" t="str">
        <f>"0.003"</f>
        <v>0.003</v>
      </c>
      <c r="H561" t="str">
        <f>""</f>
        <v/>
      </c>
      <c r="I561" t="str">
        <f t="shared" si="64"/>
        <v xml:space="preserve">                                                     </v>
      </c>
      <c r="J561" t="str">
        <f>""</f>
        <v/>
      </c>
    </row>
    <row r="562" spans="1:10">
      <c r="A562" s="1" t="str">
        <f t="shared" si="67"/>
        <v>3d6.4s.(6D&lt;9/2&gt;).4f</v>
      </c>
      <c r="B562" t="str">
        <f>"2[15/2]*"</f>
        <v>2[15/2]*</v>
      </c>
      <c r="C562" t="str">
        <f>"8"</f>
        <v>8</v>
      </c>
      <c r="D562" t="str">
        <f>""</f>
        <v/>
      </c>
      <c r="E562" t="str">
        <f>"56778.791"</f>
        <v>56778.791</v>
      </c>
      <c r="F562" t="str">
        <f>""</f>
        <v/>
      </c>
      <c r="G562" t="str">
        <f>"0.003"</f>
        <v>0.003</v>
      </c>
      <c r="H562" t="str">
        <f>""</f>
        <v/>
      </c>
      <c r="I562" t="str">
        <f t="shared" si="64"/>
        <v xml:space="preserve">                                                     </v>
      </c>
      <c r="J562" t="str">
        <f>""</f>
        <v/>
      </c>
    </row>
    <row r="563" spans="1:10">
      <c r="A563" s="1" t="str">
        <f t="shared" si="67"/>
        <v>3d6.4s.(6D&lt;9/2&gt;).4f</v>
      </c>
      <c r="B563" t="str">
        <f>"2[3/2]*"</f>
        <v>2[3/2]*</v>
      </c>
      <c r="C563" t="str">
        <f>"2"</f>
        <v>2</v>
      </c>
      <c r="D563" t="str">
        <f>""</f>
        <v/>
      </c>
      <c r="E563" t="str">
        <f>"56789.699"</f>
        <v>56789.699</v>
      </c>
      <c r="F563" t="str">
        <f>""</f>
        <v/>
      </c>
      <c r="G563" t="str">
        <f>"0.002"</f>
        <v>0.002</v>
      </c>
      <c r="H563" t="str">
        <f>""</f>
        <v/>
      </c>
      <c r="I563" t="str">
        <f t="shared" si="64"/>
        <v xml:space="preserve">                                                     </v>
      </c>
      <c r="J563" t="str">
        <f>""</f>
        <v/>
      </c>
    </row>
    <row r="564" spans="1:10">
      <c r="A564" s="1" t="str">
        <f t="shared" si="67"/>
        <v>3d6.4s.(6D&lt;9/2&gt;).4f</v>
      </c>
      <c r="B564" t="str">
        <f>"2[3/2]*"</f>
        <v>2[3/2]*</v>
      </c>
      <c r="C564" t="str">
        <f>"1"</f>
        <v>1</v>
      </c>
      <c r="D564" t="str">
        <f>""</f>
        <v/>
      </c>
      <c r="E564" t="str">
        <f>"56791.623"</f>
        <v>56791.623</v>
      </c>
      <c r="F564" t="str">
        <f>""</f>
        <v/>
      </c>
      <c r="G564" t="str">
        <f>"0.002"</f>
        <v>0.002</v>
      </c>
      <c r="H564" t="str">
        <f>""</f>
        <v/>
      </c>
      <c r="I564" t="str">
        <f t="shared" si="64"/>
        <v xml:space="preserve">                                                     </v>
      </c>
      <c r="J564" t="str">
        <f>""</f>
        <v/>
      </c>
    </row>
    <row r="565" spans="1:10">
      <c r="A565" s="1" t="str">
        <f>"3d7.(4F).6s"</f>
        <v>3d7.(4F).6s</v>
      </c>
      <c r="B565" t="str">
        <f>"3F"</f>
        <v>3F</v>
      </c>
      <c r="C565" t="str">
        <f>"4"</f>
        <v>4</v>
      </c>
      <c r="D565" t="str">
        <f>""</f>
        <v/>
      </c>
      <c r="E565" t="str">
        <f>"56808.267"</f>
        <v>56808.267</v>
      </c>
      <c r="F565" t="str">
        <f>""</f>
        <v/>
      </c>
      <c r="G565" t="str">
        <f>"0.002"</f>
        <v>0.002</v>
      </c>
      <c r="H565" t="str">
        <f>""</f>
        <v/>
      </c>
      <c r="I565" t="str">
        <f t="shared" si="64"/>
        <v xml:space="preserve">                                                     </v>
      </c>
      <c r="J565" t="str">
        <f>""</f>
        <v/>
      </c>
    </row>
    <row r="566" spans="1:10">
      <c r="A566" s="1" t="str">
        <f>"3d7.(4F).6s"</f>
        <v>3d7.(4F).6s</v>
      </c>
      <c r="B566" t="str">
        <f>"3F"</f>
        <v>3F</v>
      </c>
      <c r="C566" t="str">
        <f>"3"</f>
        <v>3</v>
      </c>
      <c r="D566" t="str">
        <f>""</f>
        <v/>
      </c>
      <c r="E566" t="str">
        <f>"57218.827"</f>
        <v>57218.827</v>
      </c>
      <c r="F566" t="str">
        <f>""</f>
        <v/>
      </c>
      <c r="G566" t="str">
        <f>"0.002"</f>
        <v>0.002</v>
      </c>
      <c r="H566" t="str">
        <f>""</f>
        <v/>
      </c>
      <c r="I566" t="str">
        <f t="shared" si="64"/>
        <v xml:space="preserve">                                                     </v>
      </c>
      <c r="J566" t="str">
        <f>""</f>
        <v/>
      </c>
    </row>
    <row r="567" spans="1:10">
      <c r="A567" s="1" t="str">
        <f>"3d7.(4F).6s"</f>
        <v>3d7.(4F).6s</v>
      </c>
      <c r="B567" t="str">
        <f>"3F"</f>
        <v>3F</v>
      </c>
      <c r="C567" t="str">
        <f>"2"</f>
        <v>2</v>
      </c>
      <c r="D567" t="str">
        <f>""</f>
        <v/>
      </c>
      <c r="E567" t="str">
        <f>"57790.909"</f>
        <v>57790.909</v>
      </c>
      <c r="F567" t="str">
        <f>""</f>
        <v/>
      </c>
      <c r="G567" t="str">
        <f>"0.002"</f>
        <v>0.002</v>
      </c>
      <c r="H567" t="str">
        <f>""</f>
        <v/>
      </c>
      <c r="I567" t="str">
        <f t="shared" si="64"/>
        <v xml:space="preserve">                                                     </v>
      </c>
      <c r="J567" t="str">
        <f>""</f>
        <v/>
      </c>
    </row>
    <row r="568" spans="1:10">
      <c r="A568" s="1" t="str">
        <f>"3d6.4s.(6D).6p"</f>
        <v>3d6.4s.(6D).6p</v>
      </c>
      <c r="B568" t="str">
        <f>"5P*"</f>
        <v>5P*</v>
      </c>
      <c r="C568" t="str">
        <f>"3"</f>
        <v>3</v>
      </c>
      <c r="D568" t="str">
        <f>""</f>
        <v/>
      </c>
      <c r="E568" t="str">
        <f>"56871.345"</f>
        <v>56871.345</v>
      </c>
      <c r="F568" t="str">
        <f>""</f>
        <v/>
      </c>
      <c r="G568" t="str">
        <f>"0.003"</f>
        <v>0.003</v>
      </c>
      <c r="H568" t="str">
        <f>""</f>
        <v/>
      </c>
      <c r="I568" t="str">
        <f t="shared" si="64"/>
        <v xml:space="preserve">                                                     </v>
      </c>
      <c r="J568" t="str">
        <f>""</f>
        <v/>
      </c>
    </row>
    <row r="569" spans="1:10">
      <c r="A569" s="1" t="str">
        <f>"3d6.4s.(6D).6p"</f>
        <v>3d6.4s.(6D).6p</v>
      </c>
      <c r="B569" t="str">
        <f>"5P*"</f>
        <v>5P*</v>
      </c>
      <c r="C569" t="str">
        <f>"2"</f>
        <v>2</v>
      </c>
      <c r="D569" t="str">
        <f>""</f>
        <v/>
      </c>
      <c r="E569" t="str">
        <f>"57437.194"</f>
        <v>57437.194</v>
      </c>
      <c r="F569" t="str">
        <f>""</f>
        <v/>
      </c>
      <c r="G569" t="str">
        <f>"0.001"</f>
        <v>0.001</v>
      </c>
      <c r="H569" t="str">
        <f>""</f>
        <v/>
      </c>
      <c r="I569" t="str">
        <f t="shared" si="64"/>
        <v xml:space="preserve">                                                     </v>
      </c>
      <c r="J569" t="str">
        <f>""</f>
        <v/>
      </c>
    </row>
    <row r="570" spans="1:10">
      <c r="A570" s="1" t="str">
        <f>"3d6.4s.(6D).6p"</f>
        <v>3d6.4s.(6D).6p</v>
      </c>
      <c r="B570" t="str">
        <f>"5P*"</f>
        <v>5P*</v>
      </c>
      <c r="C570" t="str">
        <f>"1"</f>
        <v>1</v>
      </c>
      <c r="D570" t="str">
        <f>""</f>
        <v/>
      </c>
      <c r="E570" t="str">
        <f>"57741.472"</f>
        <v>57741.472</v>
      </c>
      <c r="F570" t="str">
        <f>""</f>
        <v/>
      </c>
      <c r="G570" t="str">
        <f>"0.003"</f>
        <v>0.003</v>
      </c>
      <c r="H570" t="str">
        <f>""</f>
        <v/>
      </c>
      <c r="I570" t="str">
        <f t="shared" si="64"/>
        <v xml:space="preserve">                                                     </v>
      </c>
      <c r="J570" t="str">
        <f>""</f>
        <v/>
      </c>
    </row>
    <row r="571" spans="1:10">
      <c r="A571" s="1" t="str">
        <f>"3d7.(2H).4p"</f>
        <v>3d7.(2H).4p</v>
      </c>
      <c r="B571" t="str">
        <f>"v 1G*"</f>
        <v>v 1G*</v>
      </c>
      <c r="C571" t="str">
        <f>"4"</f>
        <v>4</v>
      </c>
      <c r="D571" t="str">
        <f>""</f>
        <v/>
      </c>
      <c r="E571" t="str">
        <f>"56951.301"</f>
        <v>56951.301</v>
      </c>
      <c r="F571" t="str">
        <f>""</f>
        <v/>
      </c>
      <c r="G571" t="str">
        <f>"0.003"</f>
        <v>0.003</v>
      </c>
      <c r="H571" t="str">
        <f>"1.053"</f>
        <v>1.053</v>
      </c>
      <c r="I571" t="str">
        <f>"  39             :    23  3d6.(3G).4s.4p.(3P*)  1G*  "</f>
        <v xml:space="preserve">  39             :    23  3d6.(3G).4s.4p.(3P*)  1G*  </v>
      </c>
      <c r="J571" t="str">
        <f>""</f>
        <v/>
      </c>
    </row>
    <row r="572" spans="1:10">
      <c r="A572" s="1" t="str">
        <f>"3d6.(1I).4s.4p.(3P*)"</f>
        <v>3d6.(1I).4s.4p.(3P*)</v>
      </c>
      <c r="B572" t="str">
        <f>"x 3I*"</f>
        <v>x 3I*</v>
      </c>
      <c r="C572" t="str">
        <f>"7"</f>
        <v>7</v>
      </c>
      <c r="D572" t="str">
        <f>""</f>
        <v/>
      </c>
      <c r="E572" t="str">
        <f>"57027.513"</f>
        <v>57027.513</v>
      </c>
      <c r="F572" t="str">
        <f>""</f>
        <v/>
      </c>
      <c r="G572" t="str">
        <f>"0.003"</f>
        <v>0.003</v>
      </c>
      <c r="H572" t="str">
        <f>"1.145"</f>
        <v>1.145</v>
      </c>
      <c r="I572" t="str">
        <f>"  86             :     6  3d7.(2H).4p           3I*  "</f>
        <v xml:space="preserve">  86             :     6  3d7.(2H).4p           3I*  </v>
      </c>
      <c r="J572" t="str">
        <f>""</f>
        <v/>
      </c>
    </row>
    <row r="573" spans="1:10">
      <c r="A573" s="1" t="str">
        <f>"3d6.(1I).4s.4p.(3P*)"</f>
        <v>3d6.(1I).4s.4p.(3P*)</v>
      </c>
      <c r="B573" t="str">
        <f>"x 3I*"</f>
        <v>x 3I*</v>
      </c>
      <c r="C573" t="str">
        <f>"6"</f>
        <v>6</v>
      </c>
      <c r="D573" t="str">
        <f>""</f>
        <v/>
      </c>
      <c r="E573" t="str">
        <f>"57070.171"</f>
        <v>57070.171</v>
      </c>
      <c r="F573" t="str">
        <f>""</f>
        <v/>
      </c>
      <c r="G573" t="str">
        <f>"0.003"</f>
        <v>0.003</v>
      </c>
      <c r="H573" t="str">
        <f>"1.028"</f>
        <v>1.028</v>
      </c>
      <c r="I573" t="str">
        <f>"  85             :     7  3d7.(2H).4p           3I*  "</f>
        <v xml:space="preserve">  85             :     7  3d7.(2H).4p           3I*  </v>
      </c>
      <c r="J573" t="str">
        <f>""</f>
        <v/>
      </c>
    </row>
    <row r="574" spans="1:10">
      <c r="A574" s="1" t="str">
        <f>"3d6.(1I).4s.4p.(3P*)"</f>
        <v>3d6.(1I).4s.4p.(3P*)</v>
      </c>
      <c r="B574" t="str">
        <f>"x 3I*"</f>
        <v>x 3I*</v>
      </c>
      <c r="C574" t="str">
        <f>"5"</f>
        <v>5</v>
      </c>
      <c r="D574" t="str">
        <f>""</f>
        <v/>
      </c>
      <c r="E574" t="str">
        <f>"57104.217"</f>
        <v>57104.217</v>
      </c>
      <c r="F574" t="str">
        <f>""</f>
        <v/>
      </c>
      <c r="G574" t="str">
        <f>"0.007"</f>
        <v>0.007</v>
      </c>
      <c r="H574" t="str">
        <f>"0.832"</f>
        <v>0.832</v>
      </c>
      <c r="I574" t="str">
        <f>"  84             :     7  3d7.(2H).4p           3I*  "</f>
        <v xml:space="preserve">  84             :     7  3d7.(2H).4p           3I*  </v>
      </c>
      <c r="J574" t="str">
        <f>""</f>
        <v/>
      </c>
    </row>
    <row r="575" spans="1:10">
      <c r="A575" s="1" t="str">
        <f>"3d6.(3D).4s.4p.(1P*)"</f>
        <v>3d6.(3D).4s.4p.(1P*)</v>
      </c>
      <c r="B575" t="str">
        <f>"3D*"</f>
        <v>3D*</v>
      </c>
      <c r="C575" t="str">
        <f>"2"</f>
        <v>2</v>
      </c>
      <c r="D575" t="str">
        <f>""</f>
        <v/>
      </c>
      <c r="E575" t="str">
        <f>"57074.915"</f>
        <v>57074.915</v>
      </c>
      <c r="F575" t="str">
        <f>""</f>
        <v/>
      </c>
      <c r="G575" t="str">
        <f>"0.002"</f>
        <v>0.002</v>
      </c>
      <c r="H575" t="str">
        <f>""</f>
        <v/>
      </c>
      <c r="I575" t="str">
        <f t="shared" ref="I575:I604" si="69">"                                                     "</f>
        <v xml:space="preserve">                                                     </v>
      </c>
      <c r="J575" t="str">
        <f>""</f>
        <v/>
      </c>
    </row>
    <row r="576" spans="1:10">
      <c r="A576" s="1" t="str">
        <f>"3d6.(3D).4s.4p.(1P*)"</f>
        <v>3d6.(3D).4s.4p.(1P*)</v>
      </c>
      <c r="B576" t="str">
        <f>"3D*"</f>
        <v>3D*</v>
      </c>
      <c r="C576" t="str">
        <f>"3"</f>
        <v>3</v>
      </c>
      <c r="D576" t="str">
        <f>""</f>
        <v/>
      </c>
      <c r="E576" t="str">
        <f>"57346.148"</f>
        <v>57346.148</v>
      </c>
      <c r="F576" t="str">
        <f>""</f>
        <v/>
      </c>
      <c r="G576" t="str">
        <f>"0.002"</f>
        <v>0.002</v>
      </c>
      <c r="H576" t="str">
        <f>""</f>
        <v/>
      </c>
      <c r="I576" t="str">
        <f t="shared" si="69"/>
        <v xml:space="preserve">                                                     </v>
      </c>
      <c r="J576" t="str">
        <f>""</f>
        <v/>
      </c>
    </row>
    <row r="577" spans="1:10">
      <c r="A577" s="1" t="str">
        <f t="shared" ref="A577:A590" si="70">"3d6.4s.(6D&lt;7/2&gt;).4f"</f>
        <v>3d6.4s.(6D&lt;7/2&gt;).4f</v>
      </c>
      <c r="B577" t="str">
        <f>"2[9/2]*"</f>
        <v>2[9/2]*</v>
      </c>
      <c r="C577" t="str">
        <f>"5"</f>
        <v>5</v>
      </c>
      <c r="D577" t="str">
        <f>""</f>
        <v/>
      </c>
      <c r="E577" t="str">
        <f>"57145.784"</f>
        <v>57145.784</v>
      </c>
      <c r="F577" t="str">
        <f>""</f>
        <v/>
      </c>
      <c r="G577" t="str">
        <f t="shared" ref="G577:G582" si="71">"0.001"</f>
        <v>0.001</v>
      </c>
      <c r="H577" t="str">
        <f>""</f>
        <v/>
      </c>
      <c r="I577" t="str">
        <f t="shared" si="69"/>
        <v xml:space="preserve">                                                     </v>
      </c>
      <c r="J577" t="str">
        <f>""</f>
        <v/>
      </c>
    </row>
    <row r="578" spans="1:10">
      <c r="A578" s="1" t="str">
        <f t="shared" si="70"/>
        <v>3d6.4s.(6D&lt;7/2&gt;).4f</v>
      </c>
      <c r="B578" t="str">
        <f>"2[9/2]*"</f>
        <v>2[9/2]*</v>
      </c>
      <c r="C578" t="str">
        <f>"4"</f>
        <v>4</v>
      </c>
      <c r="D578" t="str">
        <f>""</f>
        <v/>
      </c>
      <c r="E578" t="str">
        <f>"57147.171"</f>
        <v>57147.171</v>
      </c>
      <c r="F578" t="str">
        <f>""</f>
        <v/>
      </c>
      <c r="G578" t="str">
        <f t="shared" si="71"/>
        <v>0.001</v>
      </c>
      <c r="H578" t="str">
        <f>""</f>
        <v/>
      </c>
      <c r="I578" t="str">
        <f t="shared" si="69"/>
        <v xml:space="preserve">                                                     </v>
      </c>
      <c r="J578" t="str">
        <f>""</f>
        <v/>
      </c>
    </row>
    <row r="579" spans="1:10">
      <c r="A579" s="1" t="str">
        <f t="shared" si="70"/>
        <v>3d6.4s.(6D&lt;7/2&gt;).4f</v>
      </c>
      <c r="B579" t="str">
        <f>"2[11/2]*"</f>
        <v>2[11/2]*</v>
      </c>
      <c r="C579" t="str">
        <f>"6"</f>
        <v>6</v>
      </c>
      <c r="D579" t="str">
        <f>""</f>
        <v/>
      </c>
      <c r="E579" t="str">
        <f>"57146.772"</f>
        <v>57146.772</v>
      </c>
      <c r="F579" t="str">
        <f>""</f>
        <v/>
      </c>
      <c r="G579" t="str">
        <f t="shared" si="71"/>
        <v>0.001</v>
      </c>
      <c r="H579" t="str">
        <f>""</f>
        <v/>
      </c>
      <c r="I579" t="str">
        <f t="shared" si="69"/>
        <v xml:space="preserve">                                                     </v>
      </c>
      <c r="J579" t="str">
        <f>""</f>
        <v/>
      </c>
    </row>
    <row r="580" spans="1:10">
      <c r="A580" s="1" t="str">
        <f t="shared" si="70"/>
        <v>3d6.4s.(6D&lt;7/2&gt;).4f</v>
      </c>
      <c r="B580" t="str">
        <f>"2[11/2]*"</f>
        <v>2[11/2]*</v>
      </c>
      <c r="C580" t="str">
        <f>"5"</f>
        <v>5</v>
      </c>
      <c r="D580" t="str">
        <f>""</f>
        <v/>
      </c>
      <c r="E580" t="str">
        <f>"57147.784"</f>
        <v>57147.784</v>
      </c>
      <c r="F580" t="str">
        <f>""</f>
        <v/>
      </c>
      <c r="G580" t="str">
        <f t="shared" si="71"/>
        <v>0.001</v>
      </c>
      <c r="H580" t="str">
        <f>""</f>
        <v/>
      </c>
      <c r="I580" t="str">
        <f t="shared" si="69"/>
        <v xml:space="preserve">                                                     </v>
      </c>
      <c r="J580" t="str">
        <f>""</f>
        <v/>
      </c>
    </row>
    <row r="581" spans="1:10">
      <c r="A581" s="1" t="str">
        <f t="shared" si="70"/>
        <v>3d6.4s.(6D&lt;7/2&gt;).4f</v>
      </c>
      <c r="B581" t="str">
        <f>"2[7/2]*"</f>
        <v>2[7/2]*</v>
      </c>
      <c r="C581" t="str">
        <f>"4"</f>
        <v>4</v>
      </c>
      <c r="D581" t="str">
        <f>""</f>
        <v/>
      </c>
      <c r="E581" t="str">
        <f>"57149.113"</f>
        <v>57149.113</v>
      </c>
      <c r="F581" t="str">
        <f>""</f>
        <v/>
      </c>
      <c r="G581" t="str">
        <f t="shared" si="71"/>
        <v>0.001</v>
      </c>
      <c r="H581" t="str">
        <f>""</f>
        <v/>
      </c>
      <c r="I581" t="str">
        <f t="shared" si="69"/>
        <v xml:space="preserve">                                                     </v>
      </c>
      <c r="J581" t="str">
        <f>""</f>
        <v/>
      </c>
    </row>
    <row r="582" spans="1:10">
      <c r="A582" s="1" t="str">
        <f t="shared" si="70"/>
        <v>3d6.4s.(6D&lt;7/2&gt;).4f</v>
      </c>
      <c r="B582" t="str">
        <f>"2[7/2]*"</f>
        <v>2[7/2]*</v>
      </c>
      <c r="C582" t="str">
        <f>"3"</f>
        <v>3</v>
      </c>
      <c r="D582" t="str">
        <f>""</f>
        <v/>
      </c>
      <c r="E582" t="str">
        <f>"57149.702"</f>
        <v>57149.702</v>
      </c>
      <c r="F582" t="str">
        <f>""</f>
        <v/>
      </c>
      <c r="G582" t="str">
        <f t="shared" si="71"/>
        <v>0.001</v>
      </c>
      <c r="H582" t="str">
        <f>""</f>
        <v/>
      </c>
      <c r="I582" t="str">
        <f t="shared" si="69"/>
        <v xml:space="preserve">                                                     </v>
      </c>
      <c r="J582" t="str">
        <f>""</f>
        <v/>
      </c>
    </row>
    <row r="583" spans="1:10">
      <c r="A583" s="1" t="str">
        <f t="shared" si="70"/>
        <v>3d6.4s.(6D&lt;7/2&gt;).4f</v>
      </c>
      <c r="B583" t="str">
        <f>"2[5/2]*"</f>
        <v>2[5/2]*</v>
      </c>
      <c r="C583" t="str">
        <f>"3"</f>
        <v>3</v>
      </c>
      <c r="D583" t="str">
        <f>""</f>
        <v/>
      </c>
      <c r="E583" t="str">
        <f>"57149.845"</f>
        <v>57149.845</v>
      </c>
      <c r="F583" t="str">
        <f>""</f>
        <v/>
      </c>
      <c r="G583" t="str">
        <f>"0.002"</f>
        <v>0.002</v>
      </c>
      <c r="H583" t="str">
        <f>""</f>
        <v/>
      </c>
      <c r="I583" t="str">
        <f t="shared" si="69"/>
        <v xml:space="preserve">                                                     </v>
      </c>
      <c r="J583" t="str">
        <f>""</f>
        <v/>
      </c>
    </row>
    <row r="584" spans="1:10">
      <c r="A584" s="1" t="str">
        <f t="shared" si="70"/>
        <v>3d6.4s.(6D&lt;7/2&gt;).4f</v>
      </c>
      <c r="B584" t="str">
        <f>"2[5/2]*"</f>
        <v>2[5/2]*</v>
      </c>
      <c r="C584" t="str">
        <f>"2"</f>
        <v>2</v>
      </c>
      <c r="D584" t="str">
        <f>""</f>
        <v/>
      </c>
      <c r="E584" t="str">
        <f>"57152.415"</f>
        <v>57152.415</v>
      </c>
      <c r="F584" t="str">
        <f>""</f>
        <v/>
      </c>
      <c r="G584" t="str">
        <f>"0.001"</f>
        <v>0.001</v>
      </c>
      <c r="H584" t="str">
        <f>""</f>
        <v/>
      </c>
      <c r="I584" t="str">
        <f t="shared" si="69"/>
        <v xml:space="preserve">                                                     </v>
      </c>
      <c r="J584" t="str">
        <f>""</f>
        <v/>
      </c>
    </row>
    <row r="585" spans="1:10">
      <c r="A585" s="1" t="str">
        <f t="shared" si="70"/>
        <v>3d6.4s.(6D&lt;7/2&gt;).4f</v>
      </c>
      <c r="B585" t="str">
        <f>"2[3/2]*"</f>
        <v>2[3/2]*</v>
      </c>
      <c r="C585" t="str">
        <f>"1"</f>
        <v>1</v>
      </c>
      <c r="D585" t="str">
        <f>""</f>
        <v/>
      </c>
      <c r="E585" t="str">
        <f>"57152.267"</f>
        <v>57152.267</v>
      </c>
      <c r="F585" t="str">
        <f>""</f>
        <v/>
      </c>
      <c r="G585" t="str">
        <f>"0.002"</f>
        <v>0.002</v>
      </c>
      <c r="H585" t="str">
        <f>""</f>
        <v/>
      </c>
      <c r="I585" t="str">
        <f t="shared" si="69"/>
        <v xml:space="preserve">                                                     </v>
      </c>
      <c r="J585" t="str">
        <f>""</f>
        <v/>
      </c>
    </row>
    <row r="586" spans="1:10">
      <c r="A586" s="1" t="str">
        <f t="shared" si="70"/>
        <v>3d6.4s.(6D&lt;7/2&gt;).4f</v>
      </c>
      <c r="B586" t="str">
        <f>"2[3/2]*"</f>
        <v>2[3/2]*</v>
      </c>
      <c r="C586" t="str">
        <f>"2"</f>
        <v>2</v>
      </c>
      <c r="D586" t="str">
        <f>""</f>
        <v/>
      </c>
      <c r="E586" t="str">
        <f>"57154.269"</f>
        <v>57154.269</v>
      </c>
      <c r="F586" t="str">
        <f>""</f>
        <v/>
      </c>
      <c r="G586" t="str">
        <f>"0.002"</f>
        <v>0.002</v>
      </c>
      <c r="H586" t="str">
        <f>""</f>
        <v/>
      </c>
      <c r="I586" t="str">
        <f t="shared" si="69"/>
        <v xml:space="preserve">                                                     </v>
      </c>
      <c r="J586" t="str">
        <f>""</f>
        <v/>
      </c>
    </row>
    <row r="587" spans="1:10">
      <c r="A587" s="1" t="str">
        <f t="shared" si="70"/>
        <v>3d6.4s.(6D&lt;7/2&gt;).4f</v>
      </c>
      <c r="B587" t="str">
        <f>"2[13/2]*"</f>
        <v>2[13/2]*</v>
      </c>
      <c r="C587" t="str">
        <f>"7"</f>
        <v>7</v>
      </c>
      <c r="D587" t="str">
        <f>""</f>
        <v/>
      </c>
      <c r="E587" t="str">
        <f>"57152.335"</f>
        <v>57152.335</v>
      </c>
      <c r="F587" t="str">
        <f>""</f>
        <v/>
      </c>
      <c r="G587" t="str">
        <f>"0.002"</f>
        <v>0.002</v>
      </c>
      <c r="H587" t="str">
        <f>""</f>
        <v/>
      </c>
      <c r="I587" t="str">
        <f t="shared" si="69"/>
        <v xml:space="preserve">                                                     </v>
      </c>
      <c r="J587" t="str">
        <f>""</f>
        <v/>
      </c>
    </row>
    <row r="588" spans="1:10">
      <c r="A588" s="1" t="str">
        <f t="shared" si="70"/>
        <v>3d6.4s.(6D&lt;7/2&gt;).4f</v>
      </c>
      <c r="B588" t="str">
        <f>"2[13/2]*"</f>
        <v>2[13/2]*</v>
      </c>
      <c r="C588" t="str">
        <f>"6"</f>
        <v>6</v>
      </c>
      <c r="D588" t="str">
        <f>""</f>
        <v/>
      </c>
      <c r="E588" t="str">
        <f>"57153.171"</f>
        <v>57153.171</v>
      </c>
      <c r="F588" t="str">
        <f>""</f>
        <v/>
      </c>
      <c r="G588" t="str">
        <f>"0.002"</f>
        <v>0.002</v>
      </c>
      <c r="H588" t="str">
        <f>""</f>
        <v/>
      </c>
      <c r="I588" t="str">
        <f t="shared" si="69"/>
        <v xml:space="preserve">                                                     </v>
      </c>
      <c r="J588" t="str">
        <f>""</f>
        <v/>
      </c>
    </row>
    <row r="589" spans="1:10">
      <c r="A589" s="1" t="str">
        <f t="shared" si="70"/>
        <v>3d6.4s.(6D&lt;7/2&gt;).4f</v>
      </c>
      <c r="B589" t="str">
        <f>"2[1/2]*"</f>
        <v>2[1/2]*</v>
      </c>
      <c r="C589" t="str">
        <f>"1"</f>
        <v>1</v>
      </c>
      <c r="D589" t="str">
        <f>""</f>
        <v/>
      </c>
      <c r="E589" t="str">
        <f>"57154.996"</f>
        <v>57154.996</v>
      </c>
      <c r="F589" t="str">
        <f>""</f>
        <v/>
      </c>
      <c r="G589" t="str">
        <f>"0.003"</f>
        <v>0.003</v>
      </c>
      <c r="H589" t="str">
        <f>""</f>
        <v/>
      </c>
      <c r="I589" t="str">
        <f t="shared" si="69"/>
        <v xml:space="preserve">                                                     </v>
      </c>
      <c r="J589" t="str">
        <f>""</f>
        <v/>
      </c>
    </row>
    <row r="590" spans="1:10">
      <c r="A590" s="1" t="str">
        <f t="shared" si="70"/>
        <v>3d6.4s.(6D&lt;7/2&gt;).4f</v>
      </c>
      <c r="B590" t="str">
        <f>"2[1/2]*"</f>
        <v>2[1/2]*</v>
      </c>
      <c r="C590" t="str">
        <f>"0"</f>
        <v>0</v>
      </c>
      <c r="D590" t="str">
        <f>""</f>
        <v/>
      </c>
      <c r="E590" t="str">
        <f>"57156.059"</f>
        <v>57156.059</v>
      </c>
      <c r="F590" t="str">
        <f>""</f>
        <v/>
      </c>
      <c r="G590" t="str">
        <f>"0.002"</f>
        <v>0.002</v>
      </c>
      <c r="H590" t="str">
        <f>""</f>
        <v/>
      </c>
      <c r="I590" t="str">
        <f t="shared" si="69"/>
        <v xml:space="preserve">                                                     </v>
      </c>
      <c r="J590" t="str">
        <f>""</f>
        <v/>
      </c>
    </row>
    <row r="591" spans="1:10">
      <c r="A591" s="1" t="str">
        <f>"3d6.4s.(6D).5d"</f>
        <v>3d6.4s.(6D).5d</v>
      </c>
      <c r="B591" t="str">
        <f>"5P"</f>
        <v>5P</v>
      </c>
      <c r="C591" t="str">
        <f>"3"</f>
        <v>3</v>
      </c>
      <c r="D591" t="str">
        <f>""</f>
        <v/>
      </c>
      <c r="E591" t="str">
        <f>"57160.142"</f>
        <v>57160.142</v>
      </c>
      <c r="F591" t="str">
        <f>""</f>
        <v/>
      </c>
      <c r="G591" t="str">
        <f>"0.002"</f>
        <v>0.002</v>
      </c>
      <c r="H591" t="str">
        <f>""</f>
        <v/>
      </c>
      <c r="I591" t="str">
        <f t="shared" si="69"/>
        <v xml:space="preserve">                                                     </v>
      </c>
      <c r="J591" t="str">
        <f>""</f>
        <v/>
      </c>
    </row>
    <row r="592" spans="1:10">
      <c r="A592" s="1" t="str">
        <f>"3d6.4s.(6D).5d"</f>
        <v>3d6.4s.(6D).5d</v>
      </c>
      <c r="B592" t="str">
        <f>"5P"</f>
        <v>5P</v>
      </c>
      <c r="C592" t="str">
        <f>"2"</f>
        <v>2</v>
      </c>
      <c r="D592" t="str">
        <f>""</f>
        <v/>
      </c>
      <c r="E592" t="str">
        <f>"57403.134"</f>
        <v>57403.134</v>
      </c>
      <c r="F592" t="str">
        <f>""</f>
        <v/>
      </c>
      <c r="G592" t="str">
        <f>"0.002"</f>
        <v>0.002</v>
      </c>
      <c r="H592" t="str">
        <f>""</f>
        <v/>
      </c>
      <c r="I592" t="str">
        <f t="shared" si="69"/>
        <v xml:space="preserve">                                                     </v>
      </c>
      <c r="J592" t="str">
        <f>""</f>
        <v/>
      </c>
    </row>
    <row r="593" spans="1:10">
      <c r="A593" s="1" t="str">
        <f t="shared" ref="A593:A603" si="72">"3d6.4s.(6D&lt;5/2&gt;).4f"</f>
        <v>3d6.4s.(6D&lt;5/2&gt;).4f</v>
      </c>
      <c r="B593" t="str">
        <f>"2[1/2]*"</f>
        <v>2[1/2]*</v>
      </c>
      <c r="C593" t="str">
        <f>"1"</f>
        <v>1</v>
      </c>
      <c r="D593" t="str">
        <f>""</f>
        <v/>
      </c>
      <c r="E593" t="str">
        <f>"57421.469"</f>
        <v>57421.469</v>
      </c>
      <c r="F593" t="str">
        <f>""</f>
        <v/>
      </c>
      <c r="G593" t="str">
        <f>"0.003"</f>
        <v>0.003</v>
      </c>
      <c r="H593" t="str">
        <f>""</f>
        <v/>
      </c>
      <c r="I593" t="str">
        <f t="shared" si="69"/>
        <v xml:space="preserve">                                                     </v>
      </c>
      <c r="J593" t="str">
        <f>""</f>
        <v/>
      </c>
    </row>
    <row r="594" spans="1:10">
      <c r="A594" s="1" t="str">
        <f t="shared" si="72"/>
        <v>3d6.4s.(6D&lt;5/2&gt;).4f</v>
      </c>
      <c r="B594" t="str">
        <f>"2[3/2]*"</f>
        <v>2[3/2]*</v>
      </c>
      <c r="C594" t="str">
        <f>"1"</f>
        <v>1</v>
      </c>
      <c r="D594" t="str">
        <f>""</f>
        <v/>
      </c>
      <c r="E594" t="str">
        <f>"57426.437"</f>
        <v>57426.437</v>
      </c>
      <c r="F594" t="str">
        <f>""</f>
        <v/>
      </c>
      <c r="G594" t="str">
        <f>"0.002"</f>
        <v>0.002</v>
      </c>
      <c r="H594" t="str">
        <f>""</f>
        <v/>
      </c>
      <c r="I594" t="str">
        <f t="shared" si="69"/>
        <v xml:space="preserve">                                                     </v>
      </c>
      <c r="J594" t="str">
        <f>""</f>
        <v/>
      </c>
    </row>
    <row r="595" spans="1:10">
      <c r="A595" s="1" t="str">
        <f t="shared" si="72"/>
        <v>3d6.4s.(6D&lt;5/2&gt;).4f</v>
      </c>
      <c r="B595" t="str">
        <f>"2[3/2]*"</f>
        <v>2[3/2]*</v>
      </c>
      <c r="C595" t="str">
        <f>"2"</f>
        <v>2</v>
      </c>
      <c r="D595" t="str">
        <f>""</f>
        <v/>
      </c>
      <c r="E595" t="str">
        <f>"57427.576"</f>
        <v>57427.576</v>
      </c>
      <c r="F595" t="str">
        <f>""</f>
        <v/>
      </c>
      <c r="G595" t="str">
        <f>"0.002"</f>
        <v>0.002</v>
      </c>
      <c r="H595" t="str">
        <f>""</f>
        <v/>
      </c>
      <c r="I595" t="str">
        <f t="shared" si="69"/>
        <v xml:space="preserve">                                                     </v>
      </c>
      <c r="J595" t="str">
        <f>""</f>
        <v/>
      </c>
    </row>
    <row r="596" spans="1:10">
      <c r="A596" s="1" t="str">
        <f t="shared" si="72"/>
        <v>3d6.4s.(6D&lt;5/2&gt;).4f</v>
      </c>
      <c r="B596" t="str">
        <f>"2[11/2]*"</f>
        <v>2[11/2]*</v>
      </c>
      <c r="C596" t="str">
        <f>"6"</f>
        <v>6</v>
      </c>
      <c r="D596" t="str">
        <f>""</f>
        <v/>
      </c>
      <c r="E596" t="str">
        <f>"57428.064"</f>
        <v>57428.064</v>
      </c>
      <c r="F596" t="str">
        <f>""</f>
        <v/>
      </c>
      <c r="G596" t="str">
        <f>"0.002"</f>
        <v>0.002</v>
      </c>
      <c r="H596" t="str">
        <f>""</f>
        <v/>
      </c>
      <c r="I596" t="str">
        <f t="shared" si="69"/>
        <v xml:space="preserve">                                                     </v>
      </c>
      <c r="J596" t="str">
        <f>""</f>
        <v/>
      </c>
    </row>
    <row r="597" spans="1:10">
      <c r="A597" s="1" t="str">
        <f t="shared" si="72"/>
        <v>3d6.4s.(6D&lt;5/2&gt;).4f</v>
      </c>
      <c r="B597" t="str">
        <f>"2[11/2]*"</f>
        <v>2[11/2]*</v>
      </c>
      <c r="C597" t="str">
        <f>"5"</f>
        <v>5</v>
      </c>
      <c r="D597" t="str">
        <f>""</f>
        <v/>
      </c>
      <c r="E597" t="str">
        <f>"57429.097"</f>
        <v>57429.097</v>
      </c>
      <c r="F597" t="str">
        <f>""</f>
        <v/>
      </c>
      <c r="G597" t="str">
        <f>"0.001"</f>
        <v>0.001</v>
      </c>
      <c r="H597" t="str">
        <f>""</f>
        <v/>
      </c>
      <c r="I597" t="str">
        <f t="shared" si="69"/>
        <v xml:space="preserve">                                                     </v>
      </c>
      <c r="J597" t="str">
        <f>""</f>
        <v/>
      </c>
    </row>
    <row r="598" spans="1:10">
      <c r="A598" s="1" t="str">
        <f t="shared" si="72"/>
        <v>3d6.4s.(6D&lt;5/2&gt;).4f</v>
      </c>
      <c r="B598" t="str">
        <f>"2[5/2]*"</f>
        <v>2[5/2]*</v>
      </c>
      <c r="C598" t="str">
        <f>"2"</f>
        <v>2</v>
      </c>
      <c r="D598" t="str">
        <f>""</f>
        <v/>
      </c>
      <c r="E598" t="str">
        <f>"57431.116"</f>
        <v>57431.116</v>
      </c>
      <c r="F598" t="str">
        <f>""</f>
        <v/>
      </c>
      <c r="G598" t="str">
        <f>"0.002"</f>
        <v>0.002</v>
      </c>
      <c r="H598" t="str">
        <f>""</f>
        <v/>
      </c>
      <c r="I598" t="str">
        <f t="shared" si="69"/>
        <v xml:space="preserve">                                                     </v>
      </c>
      <c r="J598" t="str">
        <f>""</f>
        <v/>
      </c>
    </row>
    <row r="599" spans="1:10">
      <c r="A599" s="1" t="str">
        <f t="shared" si="72"/>
        <v>3d6.4s.(6D&lt;5/2&gt;).4f</v>
      </c>
      <c r="B599" t="str">
        <f>"2[5/2]*"</f>
        <v>2[5/2]*</v>
      </c>
      <c r="C599" t="str">
        <f>"3"</f>
        <v>3</v>
      </c>
      <c r="D599" t="str">
        <f>""</f>
        <v/>
      </c>
      <c r="E599" t="str">
        <f>"57432.848"</f>
        <v>57432.848</v>
      </c>
      <c r="F599" t="str">
        <f>""</f>
        <v/>
      </c>
      <c r="G599" t="str">
        <f>"0.001"</f>
        <v>0.001</v>
      </c>
      <c r="H599" t="str">
        <f>""</f>
        <v/>
      </c>
      <c r="I599" t="str">
        <f t="shared" si="69"/>
        <v xml:space="preserve">                                                     </v>
      </c>
      <c r="J599" t="str">
        <f>""</f>
        <v/>
      </c>
    </row>
    <row r="600" spans="1:10">
      <c r="A600" s="1" t="str">
        <f t="shared" si="72"/>
        <v>3d6.4s.(6D&lt;5/2&gt;).4f</v>
      </c>
      <c r="B600" t="str">
        <f>"2[7/2]*"</f>
        <v>2[7/2]*</v>
      </c>
      <c r="C600" t="str">
        <f>"4"</f>
        <v>4</v>
      </c>
      <c r="D600" t="str">
        <f>""</f>
        <v/>
      </c>
      <c r="E600" t="str">
        <f>"57437.801"</f>
        <v>57437.801</v>
      </c>
      <c r="F600" t="str">
        <f>""</f>
        <v/>
      </c>
      <c r="G600" t="str">
        <f>"0.001"</f>
        <v>0.001</v>
      </c>
      <c r="H600" t="str">
        <f>""</f>
        <v/>
      </c>
      <c r="I600" t="str">
        <f t="shared" si="69"/>
        <v xml:space="preserve">                                                     </v>
      </c>
      <c r="J600" t="str">
        <f>""</f>
        <v/>
      </c>
    </row>
    <row r="601" spans="1:10">
      <c r="A601" s="1" t="str">
        <f t="shared" si="72"/>
        <v>3d6.4s.(6D&lt;5/2&gt;).4f</v>
      </c>
      <c r="B601" t="str">
        <f>"2[7/2]*"</f>
        <v>2[7/2]*</v>
      </c>
      <c r="C601" t="str">
        <f>"3"</f>
        <v>3</v>
      </c>
      <c r="D601" t="str">
        <f>""</f>
        <v/>
      </c>
      <c r="E601" t="str">
        <f>"57439.486"</f>
        <v>57439.486</v>
      </c>
      <c r="F601" t="str">
        <f>""</f>
        <v/>
      </c>
      <c r="G601" t="str">
        <f>"0.001"</f>
        <v>0.001</v>
      </c>
      <c r="H601" t="str">
        <f>""</f>
        <v/>
      </c>
      <c r="I601" t="str">
        <f t="shared" si="69"/>
        <v xml:space="preserve">                                                     </v>
      </c>
      <c r="J601" t="str">
        <f>""</f>
        <v/>
      </c>
    </row>
    <row r="602" spans="1:10">
      <c r="A602" s="1" t="str">
        <f t="shared" si="72"/>
        <v>3d6.4s.(6D&lt;5/2&gt;).4f</v>
      </c>
      <c r="B602" t="str">
        <f>"2[9/2]*"</f>
        <v>2[9/2]*</v>
      </c>
      <c r="C602" t="str">
        <f>"5"</f>
        <v>5</v>
      </c>
      <c r="D602" t="str">
        <f>""</f>
        <v/>
      </c>
      <c r="E602" t="str">
        <f>"57437.928"</f>
        <v>57437.928</v>
      </c>
      <c r="F602" t="str">
        <f>""</f>
        <v/>
      </c>
      <c r="G602" t="str">
        <f>"0.001"</f>
        <v>0.001</v>
      </c>
      <c r="H602" t="str">
        <f>""</f>
        <v/>
      </c>
      <c r="I602" t="str">
        <f t="shared" si="69"/>
        <v xml:space="preserve">                                                     </v>
      </c>
      <c r="J602" t="str">
        <f>""</f>
        <v/>
      </c>
    </row>
    <row r="603" spans="1:10">
      <c r="A603" s="1" t="str">
        <f t="shared" si="72"/>
        <v>3d6.4s.(6D&lt;5/2&gt;).4f</v>
      </c>
      <c r="B603" t="str">
        <f>"2[9/2]*"</f>
        <v>2[9/2]*</v>
      </c>
      <c r="C603" t="str">
        <f>"4"</f>
        <v>4</v>
      </c>
      <c r="D603" t="str">
        <f>""</f>
        <v/>
      </c>
      <c r="E603" t="str">
        <f>"57439.223"</f>
        <v>57439.223</v>
      </c>
      <c r="F603" t="str">
        <f>""</f>
        <v/>
      </c>
      <c r="G603" t="str">
        <f>"0.001"</f>
        <v>0.001</v>
      </c>
      <c r="H603" t="str">
        <f>""</f>
        <v/>
      </c>
      <c r="I603" t="str">
        <f t="shared" si="69"/>
        <v xml:space="preserve">                                                     </v>
      </c>
      <c r="J603" t="str">
        <f>""</f>
        <v/>
      </c>
    </row>
    <row r="604" spans="1:10">
      <c r="A604" s="1" t="str">
        <f>"3d6.4s.(6D).5d"</f>
        <v>3d6.4s.(6D).5d</v>
      </c>
      <c r="B604" t="str">
        <f>"7S"</f>
        <v>7S</v>
      </c>
      <c r="C604" t="str">
        <f>"3"</f>
        <v>3</v>
      </c>
      <c r="D604" t="str">
        <f>""</f>
        <v/>
      </c>
      <c r="E604" t="str">
        <f>"57438.267"</f>
        <v>57438.267</v>
      </c>
      <c r="F604" t="str">
        <f>""</f>
        <v/>
      </c>
      <c r="G604" t="str">
        <f>"0.002"</f>
        <v>0.002</v>
      </c>
      <c r="H604" t="str">
        <f>""</f>
        <v/>
      </c>
      <c r="I604" t="str">
        <f t="shared" si="69"/>
        <v xml:space="preserve">                                                     </v>
      </c>
      <c r="J604" t="str">
        <f>""</f>
        <v/>
      </c>
    </row>
    <row r="605" spans="1:10">
      <c r="A605" s="1" t="str">
        <f>"3d6.(3D).4s.4p.(3P*)"</f>
        <v>3d6.(3D).4s.4p.(3P*)</v>
      </c>
      <c r="B605" t="str">
        <f>"t 3F*"</f>
        <v>t 3F*</v>
      </c>
      <c r="C605" t="str">
        <f>"4"</f>
        <v>4</v>
      </c>
      <c r="D605" t="str">
        <f>""</f>
        <v/>
      </c>
      <c r="E605" t="str">
        <f>"57550.010"</f>
        <v>57550.010</v>
      </c>
      <c r="F605" t="str">
        <f>""</f>
        <v/>
      </c>
      <c r="G605" t="str">
        <f>"0.003"</f>
        <v>0.003</v>
      </c>
      <c r="H605" t="str">
        <f>"1.235"</f>
        <v>1.235</v>
      </c>
      <c r="I605" t="str">
        <f>"  67             :    15  3d6.(3F2).4s.4p.(1P*) 3F*  "</f>
        <v xml:space="preserve">  67             :    15  3d6.(3F2).4s.4p.(1P*) 3F*  </v>
      </c>
      <c r="J605" t="str">
        <f>""</f>
        <v/>
      </c>
    </row>
    <row r="606" spans="1:10">
      <c r="A606" s="1" t="str">
        <f>"3d6.(3D).4s.4p.(3P*)"</f>
        <v>3d6.(3D).4s.4p.(3P*)</v>
      </c>
      <c r="B606" t="str">
        <f>"t 3F*"</f>
        <v>t 3F*</v>
      </c>
      <c r="C606" t="str">
        <f>"3"</f>
        <v>3</v>
      </c>
      <c r="D606" t="str">
        <f>""</f>
        <v/>
      </c>
      <c r="E606" t="str">
        <f>"57641.001"</f>
        <v>57641.001</v>
      </c>
      <c r="F606" t="str">
        <f>""</f>
        <v/>
      </c>
      <c r="G606" t="str">
        <f>"0.002"</f>
        <v>0.002</v>
      </c>
      <c r="H606" t="str">
        <f>""</f>
        <v/>
      </c>
      <c r="I606" t="str">
        <f>"  60             :    17  3d6.(3F2).4s.4p.(1P*) 3F*  "</f>
        <v xml:space="preserve">  60             :    17  3d6.(3F2).4s.4p.(1P*) 3F*  </v>
      </c>
      <c r="J606" t="str">
        <f>""</f>
        <v/>
      </c>
    </row>
    <row r="607" spans="1:10">
      <c r="A607" s="1" t="str">
        <f>"3d6.(3D).4s.4p.(3P*)"</f>
        <v>3d6.(3D).4s.4p.(3P*)</v>
      </c>
      <c r="B607" t="str">
        <f>"t 3F*"</f>
        <v>t 3F*</v>
      </c>
      <c r="C607" t="str">
        <f>"2"</f>
        <v>2</v>
      </c>
      <c r="D607" t="str">
        <f>""</f>
        <v/>
      </c>
      <c r="E607" t="str">
        <f>"57708.741"</f>
        <v>57708.741</v>
      </c>
      <c r="F607" t="str">
        <f>""</f>
        <v/>
      </c>
      <c r="G607" t="str">
        <f>"0.003"</f>
        <v>0.003</v>
      </c>
      <c r="H607" t="str">
        <f>"0.698"</f>
        <v>0.698</v>
      </c>
      <c r="I607" t="str">
        <f>"  61             :    16  3d6.(3F2).4s.4p.(1P*) 3F*  "</f>
        <v xml:space="preserve">  61             :    16  3d6.(3F2).4s.4p.(1P*) 3F*  </v>
      </c>
      <c r="J607" t="str">
        <f>""</f>
        <v/>
      </c>
    </row>
    <row r="608" spans="1:10">
      <c r="A608" s="1" t="str">
        <f>"3d6.(3P2).4s.4p.(1P*)"</f>
        <v>3d6.(3P2).4s.4p.(1P*)</v>
      </c>
      <c r="B608" t="str">
        <f>"3D*"</f>
        <v>3D*</v>
      </c>
      <c r="C608" t="str">
        <f>"3"</f>
        <v>3</v>
      </c>
      <c r="D608" t="str">
        <f>""</f>
        <v/>
      </c>
      <c r="E608" t="str">
        <f>"57565.305"</f>
        <v>57565.305</v>
      </c>
      <c r="F608" t="str">
        <f>""</f>
        <v/>
      </c>
      <c r="G608" t="str">
        <f>"0.002"</f>
        <v>0.002</v>
      </c>
      <c r="H608" t="str">
        <f>""</f>
        <v/>
      </c>
      <c r="I608" t="str">
        <f>"  78             :    10  3d6.(3D).4s.4p.(3P*)  1F*  "</f>
        <v xml:space="preserve">  78             :    10  3d6.(3D).4s.4p.(3P*)  1F*  </v>
      </c>
      <c r="J608" t="str">
        <f>""</f>
        <v/>
      </c>
    </row>
    <row r="609" spans="1:10">
      <c r="A609" s="1" t="str">
        <f t="shared" ref="A609:A616" si="73">"3d6.4s.(6D&lt;3/2&gt;).4f"</f>
        <v>3d6.4s.(6D&lt;3/2&gt;).4f</v>
      </c>
      <c r="B609" t="str">
        <f>"2[3/2]*"</f>
        <v>2[3/2]*</v>
      </c>
      <c r="C609" t="str">
        <f>"1"</f>
        <v>1</v>
      </c>
      <c r="D609" t="str">
        <f>""</f>
        <v/>
      </c>
      <c r="E609" t="str">
        <f>"57617.009"</f>
        <v>57617.009</v>
      </c>
      <c r="F609" t="str">
        <f>""</f>
        <v/>
      </c>
      <c r="G609" t="str">
        <f>"0.003"</f>
        <v>0.003</v>
      </c>
      <c r="H609" t="str">
        <f>""</f>
        <v/>
      </c>
      <c r="I609" t="str">
        <f t="shared" ref="I609:I640" si="74">"                                                     "</f>
        <v xml:space="preserve">                                                     </v>
      </c>
      <c r="J609" t="str">
        <f>""</f>
        <v/>
      </c>
    </row>
    <row r="610" spans="1:10">
      <c r="A610" s="1" t="str">
        <f t="shared" si="73"/>
        <v>3d6.4s.(6D&lt;3/2&gt;).4f</v>
      </c>
      <c r="B610" t="str">
        <f>"2[3/2]*"</f>
        <v>2[3/2]*</v>
      </c>
      <c r="C610" t="str">
        <f>"2"</f>
        <v>2</v>
      </c>
      <c r="D610" t="str">
        <f>""</f>
        <v/>
      </c>
      <c r="E610" t="str">
        <f>"57618.806"</f>
        <v>57618.806</v>
      </c>
      <c r="F610" t="str">
        <f>""</f>
        <v/>
      </c>
      <c r="G610" t="str">
        <f>"0.002"</f>
        <v>0.002</v>
      </c>
      <c r="H610" t="str">
        <f>""</f>
        <v/>
      </c>
      <c r="I610" t="str">
        <f t="shared" si="74"/>
        <v xml:space="preserve">                                                     </v>
      </c>
      <c r="J610" t="str">
        <f>""</f>
        <v/>
      </c>
    </row>
    <row r="611" spans="1:10">
      <c r="A611" s="1" t="str">
        <f t="shared" si="73"/>
        <v>3d6.4s.(6D&lt;3/2&gt;).4f</v>
      </c>
      <c r="B611" t="str">
        <f>"2[9/2]*"</f>
        <v>2[9/2]*</v>
      </c>
      <c r="C611" t="str">
        <f>"5"</f>
        <v>5</v>
      </c>
      <c r="D611" t="str">
        <f>""</f>
        <v/>
      </c>
      <c r="E611" t="str">
        <f>"57620.792"</f>
        <v>57620.792</v>
      </c>
      <c r="F611" t="str">
        <f>""</f>
        <v/>
      </c>
      <c r="G611" t="str">
        <f>"0.002"</f>
        <v>0.002</v>
      </c>
      <c r="H611" t="str">
        <f>""</f>
        <v/>
      </c>
      <c r="I611" t="str">
        <f t="shared" si="74"/>
        <v xml:space="preserve">                                                     </v>
      </c>
      <c r="J611" t="str">
        <f>""</f>
        <v/>
      </c>
    </row>
    <row r="612" spans="1:10">
      <c r="A612" s="1" t="str">
        <f t="shared" si="73"/>
        <v>3d6.4s.(6D&lt;3/2&gt;).4f</v>
      </c>
      <c r="B612" t="str">
        <f>"2[9/2]*"</f>
        <v>2[9/2]*</v>
      </c>
      <c r="C612" t="str">
        <f>"4"</f>
        <v>4</v>
      </c>
      <c r="D612" t="str">
        <f>""</f>
        <v/>
      </c>
      <c r="E612" t="str">
        <f>"57621.928"</f>
        <v>57621.928</v>
      </c>
      <c r="F612" t="str">
        <f>""</f>
        <v/>
      </c>
      <c r="G612" t="str">
        <f>"0.002"</f>
        <v>0.002</v>
      </c>
      <c r="H612" t="str">
        <f>""</f>
        <v/>
      </c>
      <c r="I612" t="str">
        <f t="shared" si="74"/>
        <v xml:space="preserve">                                                     </v>
      </c>
      <c r="J612" t="str">
        <f>""</f>
        <v/>
      </c>
    </row>
    <row r="613" spans="1:10">
      <c r="A613" s="1" t="str">
        <f t="shared" si="73"/>
        <v>3d6.4s.(6D&lt;3/2&gt;).4f</v>
      </c>
      <c r="B613" t="str">
        <f>"2[5/2]*"</f>
        <v>2[5/2]*</v>
      </c>
      <c r="C613" t="str">
        <f>"3"</f>
        <v>3</v>
      </c>
      <c r="D613" t="str">
        <f>""</f>
        <v/>
      </c>
      <c r="E613" t="str">
        <f>"57631.095"</f>
        <v>57631.095</v>
      </c>
      <c r="F613" t="str">
        <f>""</f>
        <v/>
      </c>
      <c r="G613" t="str">
        <f>"0.001"</f>
        <v>0.001</v>
      </c>
      <c r="H613" t="str">
        <f>""</f>
        <v/>
      </c>
      <c r="I613" t="str">
        <f t="shared" si="74"/>
        <v xml:space="preserve">                                                     </v>
      </c>
      <c r="J613" t="str">
        <f>""</f>
        <v/>
      </c>
    </row>
    <row r="614" spans="1:10">
      <c r="A614" s="1" t="str">
        <f t="shared" si="73"/>
        <v>3d6.4s.(6D&lt;3/2&gt;).4f</v>
      </c>
      <c r="B614" t="str">
        <f>"2[5/2]*"</f>
        <v>2[5/2]*</v>
      </c>
      <c r="C614" t="str">
        <f>"2"</f>
        <v>2</v>
      </c>
      <c r="D614" t="str">
        <f>""</f>
        <v/>
      </c>
      <c r="E614" t="str">
        <f>"57632.654"</f>
        <v>57632.654</v>
      </c>
      <c r="F614" t="str">
        <f>""</f>
        <v/>
      </c>
      <c r="G614" t="str">
        <f>"0.001"</f>
        <v>0.001</v>
      </c>
      <c r="H614" t="str">
        <f>""</f>
        <v/>
      </c>
      <c r="I614" t="str">
        <f t="shared" si="74"/>
        <v xml:space="preserve">                                                     </v>
      </c>
      <c r="J614" t="str">
        <f>""</f>
        <v/>
      </c>
    </row>
    <row r="615" spans="1:10">
      <c r="A615" s="1" t="str">
        <f t="shared" si="73"/>
        <v>3d6.4s.(6D&lt;3/2&gt;).4f</v>
      </c>
      <c r="B615" t="str">
        <f>"2[7/2]*"</f>
        <v>2[7/2]*</v>
      </c>
      <c r="C615" t="str">
        <f>"4"</f>
        <v>4</v>
      </c>
      <c r="D615" t="str">
        <f>""</f>
        <v/>
      </c>
      <c r="E615" t="str">
        <f>"57641.219"</f>
        <v>57641.219</v>
      </c>
      <c r="F615" t="str">
        <f>""</f>
        <v/>
      </c>
      <c r="G615" t="str">
        <f>"0.001"</f>
        <v>0.001</v>
      </c>
      <c r="H615" t="str">
        <f>""</f>
        <v/>
      </c>
      <c r="I615" t="str">
        <f t="shared" si="74"/>
        <v xml:space="preserve">                                                     </v>
      </c>
      <c r="J615" t="str">
        <f>""</f>
        <v/>
      </c>
    </row>
    <row r="616" spans="1:10">
      <c r="A616" s="1" t="str">
        <f t="shared" si="73"/>
        <v>3d6.4s.(6D&lt;3/2&gt;).4f</v>
      </c>
      <c r="B616" t="str">
        <f>"2[7/2]*"</f>
        <v>2[7/2]*</v>
      </c>
      <c r="C616" t="str">
        <f>"3"</f>
        <v>3</v>
      </c>
      <c r="D616" t="str">
        <f>""</f>
        <v/>
      </c>
      <c r="E616" t="str">
        <f>"57642.383"</f>
        <v>57642.383</v>
      </c>
      <c r="F616" t="str">
        <f>""</f>
        <v/>
      </c>
      <c r="G616" t="str">
        <f>"0.001"</f>
        <v>0.001</v>
      </c>
      <c r="H616" t="str">
        <f>""</f>
        <v/>
      </c>
      <c r="I616" t="str">
        <f t="shared" si="74"/>
        <v xml:space="preserve">                                                     </v>
      </c>
      <c r="J616" t="str">
        <f>""</f>
        <v/>
      </c>
    </row>
    <row r="617" spans="1:10">
      <c r="A617" s="1" t="str">
        <f>"3d6.4s.(4D).4d"</f>
        <v>3d6.4s.(4D).4d</v>
      </c>
      <c r="B617" t="str">
        <f>"5F"</f>
        <v>5F</v>
      </c>
      <c r="C617" t="str">
        <f>"5"</f>
        <v>5</v>
      </c>
      <c r="D617" t="str">
        <f>""</f>
        <v/>
      </c>
      <c r="E617" t="str">
        <f>"57660.953"</f>
        <v>57660.953</v>
      </c>
      <c r="F617" t="str">
        <f>""</f>
        <v/>
      </c>
      <c r="G617" t="str">
        <f>"0.003"</f>
        <v>0.003</v>
      </c>
      <c r="H617" t="str">
        <f>""</f>
        <v/>
      </c>
      <c r="I617" t="str">
        <f t="shared" si="74"/>
        <v xml:space="preserve">                                                     </v>
      </c>
      <c r="J617" t="str">
        <f>""</f>
        <v/>
      </c>
    </row>
    <row r="618" spans="1:10">
      <c r="A618" s="1" t="str">
        <f>"3d6.4s.(4D).4d"</f>
        <v>3d6.4s.(4D).4d</v>
      </c>
      <c r="B618" t="str">
        <f>"5F"</f>
        <v>5F</v>
      </c>
      <c r="C618" t="str">
        <f>"4"</f>
        <v>4</v>
      </c>
      <c r="D618" t="str">
        <f>""</f>
        <v/>
      </c>
      <c r="E618" t="str">
        <f>"58118.875"</f>
        <v>58118.875</v>
      </c>
      <c r="F618" t="str">
        <f>""</f>
        <v/>
      </c>
      <c r="G618" t="str">
        <f>"0.003"</f>
        <v>0.003</v>
      </c>
      <c r="H618" t="str">
        <f>""</f>
        <v/>
      </c>
      <c r="I618" t="str">
        <f t="shared" si="74"/>
        <v xml:space="preserve">                                                     </v>
      </c>
      <c r="J618" t="str">
        <f>""</f>
        <v/>
      </c>
    </row>
    <row r="619" spans="1:10">
      <c r="A619" s="1" t="str">
        <f>"3d6.4s.(4D).4d"</f>
        <v>3d6.4s.(4D).4d</v>
      </c>
      <c r="B619" t="str">
        <f>"5F"</f>
        <v>5F</v>
      </c>
      <c r="C619" t="str">
        <f>"3"</f>
        <v>3</v>
      </c>
      <c r="D619" t="str">
        <f>""</f>
        <v/>
      </c>
      <c r="E619" t="str">
        <f>"58132.081"</f>
        <v>58132.081</v>
      </c>
      <c r="F619" t="str">
        <f>""</f>
        <v/>
      </c>
      <c r="G619" t="str">
        <f>"0.003"</f>
        <v>0.003</v>
      </c>
      <c r="H619" t="str">
        <f>""</f>
        <v/>
      </c>
      <c r="I619" t="str">
        <f t="shared" si="74"/>
        <v xml:space="preserve">                                                     </v>
      </c>
      <c r="J619" t="str">
        <f>""</f>
        <v/>
      </c>
    </row>
    <row r="620" spans="1:10">
      <c r="A620" s="1" t="str">
        <f>"3d6.4s.(4D).4d"</f>
        <v>3d6.4s.(4D).4d</v>
      </c>
      <c r="B620" t="str">
        <f>"5F"</f>
        <v>5F</v>
      </c>
      <c r="C620" t="str">
        <f>"1"</f>
        <v>1</v>
      </c>
      <c r="D620" t="str">
        <f>""</f>
        <v/>
      </c>
      <c r="E620" t="str">
        <f>"58363.424"</f>
        <v>58363.424</v>
      </c>
      <c r="F620" t="str">
        <f>""</f>
        <v/>
      </c>
      <c r="G620" t="str">
        <f>"0.005"</f>
        <v>0.005</v>
      </c>
      <c r="H620" t="str">
        <f>""</f>
        <v/>
      </c>
      <c r="I620" t="str">
        <f t="shared" si="74"/>
        <v xml:space="preserve">                                                     </v>
      </c>
      <c r="J620" t="str">
        <f>""</f>
        <v/>
      </c>
    </row>
    <row r="621" spans="1:10">
      <c r="A621" s="1" t="str">
        <f>"3d6.4s.(4D).4d"</f>
        <v>3d6.4s.(4D).4d</v>
      </c>
      <c r="B621" t="str">
        <f>"5F"</f>
        <v>5F</v>
      </c>
      <c r="C621" t="str">
        <f>"2"</f>
        <v>2</v>
      </c>
      <c r="D621" t="str">
        <f>""</f>
        <v/>
      </c>
      <c r="E621" t="str">
        <f>"58512.387"</f>
        <v>58512.387</v>
      </c>
      <c r="F621" t="str">
        <f>""</f>
        <v/>
      </c>
      <c r="G621" t="str">
        <f>"0.004"</f>
        <v>0.004</v>
      </c>
      <c r="H621" t="str">
        <f>""</f>
        <v/>
      </c>
      <c r="I621" t="str">
        <f t="shared" si="74"/>
        <v xml:space="preserve">                                                     </v>
      </c>
      <c r="J621" t="str">
        <f>""</f>
        <v/>
      </c>
    </row>
    <row r="622" spans="1:10">
      <c r="A622" s="1" t="str">
        <f>"3d6.(5D).4s (4D).4d"</f>
        <v>3d6.(5D).4s (4D).4d</v>
      </c>
      <c r="B622" t="str">
        <f>"i 5D"</f>
        <v>i 5D</v>
      </c>
      <c r="C622" t="str">
        <f>"4"</f>
        <v>4</v>
      </c>
      <c r="D622" t="str">
        <f>""</f>
        <v/>
      </c>
      <c r="E622" t="str">
        <f>"57697.493"</f>
        <v>57697.493</v>
      </c>
      <c r="F622" t="str">
        <f>""</f>
        <v/>
      </c>
      <c r="G622" t="str">
        <f>"0.002"</f>
        <v>0.002</v>
      </c>
      <c r="H622" t="str">
        <f>"1.384"</f>
        <v>1.384</v>
      </c>
      <c r="I622" t="str">
        <f t="shared" si="74"/>
        <v xml:space="preserve">                                                     </v>
      </c>
      <c r="J622" t="str">
        <f>""</f>
        <v/>
      </c>
    </row>
    <row r="623" spans="1:10">
      <c r="A623" s="1" t="str">
        <f>"3d6.(5D).4s (4D).4d"</f>
        <v>3d6.(5D).4s (4D).4d</v>
      </c>
      <c r="B623" t="str">
        <f>"i 5D"</f>
        <v>i 5D</v>
      </c>
      <c r="C623" t="str">
        <f>"3"</f>
        <v>3</v>
      </c>
      <c r="D623" t="str">
        <f>""</f>
        <v/>
      </c>
      <c r="E623" t="str">
        <f>"57813.942"</f>
        <v>57813.942</v>
      </c>
      <c r="F623" t="str">
        <f>""</f>
        <v/>
      </c>
      <c r="G623" t="str">
        <f>"0.002"</f>
        <v>0.002</v>
      </c>
      <c r="H623" t="str">
        <f>"1.415"</f>
        <v>1.415</v>
      </c>
      <c r="I623" t="str">
        <f t="shared" si="74"/>
        <v xml:space="preserve">                                                     </v>
      </c>
      <c r="J623" t="str">
        <f>""</f>
        <v/>
      </c>
    </row>
    <row r="624" spans="1:10">
      <c r="A624" s="1" t="str">
        <f>"3d6.(5D).4s (4D).4d"</f>
        <v>3d6.(5D).4s (4D).4d</v>
      </c>
      <c r="B624" t="str">
        <f>"i 5D"</f>
        <v>i 5D</v>
      </c>
      <c r="C624" t="str">
        <f>"2"</f>
        <v>2</v>
      </c>
      <c r="D624" t="str">
        <f>""</f>
        <v/>
      </c>
      <c r="E624" t="str">
        <f>"57974.137"</f>
        <v>57974.137</v>
      </c>
      <c r="F624" t="str">
        <f>""</f>
        <v/>
      </c>
      <c r="G624" t="str">
        <f>"0.003"</f>
        <v>0.003</v>
      </c>
      <c r="H624" t="str">
        <f>""</f>
        <v/>
      </c>
      <c r="I624" t="str">
        <f t="shared" si="74"/>
        <v xml:space="preserve">                                                     </v>
      </c>
      <c r="J624" t="str">
        <f>""</f>
        <v/>
      </c>
    </row>
    <row r="625" spans="1:10">
      <c r="A625" s="1" t="str">
        <f>"3d6.(5D).4s (4D).4d"</f>
        <v>3d6.(5D).4s (4D).4d</v>
      </c>
      <c r="B625" t="str">
        <f>"i 5D"</f>
        <v>i 5D</v>
      </c>
      <c r="C625" t="str">
        <f>"1"</f>
        <v>1</v>
      </c>
      <c r="D625" t="str">
        <f>""</f>
        <v/>
      </c>
      <c r="E625" t="str">
        <f>"58283.204"</f>
        <v>58283.204</v>
      </c>
      <c r="F625" t="str">
        <f>""</f>
        <v/>
      </c>
      <c r="G625" t="str">
        <f>"0.003"</f>
        <v>0.003</v>
      </c>
      <c r="H625" t="str">
        <f>""</f>
        <v/>
      </c>
      <c r="I625" t="str">
        <f t="shared" si="74"/>
        <v xml:space="preserve">                                                     </v>
      </c>
      <c r="J625" t="str">
        <f>""</f>
        <v/>
      </c>
    </row>
    <row r="626" spans="1:10">
      <c r="A626" s="1" t="str">
        <f>"3d6.4s.(6D&lt;1/2&gt;).4f"</f>
        <v>3d6.4s.(6D&lt;1/2&gt;).4f</v>
      </c>
      <c r="B626" t="str">
        <f>"2[5/2]*"</f>
        <v>2[5/2]*</v>
      </c>
      <c r="C626" t="str">
        <f>"3"</f>
        <v>3</v>
      </c>
      <c r="D626" t="str">
        <f>""</f>
        <v/>
      </c>
      <c r="E626" t="str">
        <f>"57743.052"</f>
        <v>57743.052</v>
      </c>
      <c r="F626" t="str">
        <f>""</f>
        <v/>
      </c>
      <c r="G626" t="str">
        <f>"0.002"</f>
        <v>0.002</v>
      </c>
      <c r="H626" t="str">
        <f>""</f>
        <v/>
      </c>
      <c r="I626" t="str">
        <f t="shared" si="74"/>
        <v xml:space="preserve">                                                     </v>
      </c>
      <c r="J626" t="str">
        <f>""</f>
        <v/>
      </c>
    </row>
    <row r="627" spans="1:10">
      <c r="A627" s="1" t="str">
        <f>"3d6.4s.(6D&lt;1/2&gt;).4f"</f>
        <v>3d6.4s.(6D&lt;1/2&gt;).4f</v>
      </c>
      <c r="B627" t="str">
        <f>"2[5/2]*"</f>
        <v>2[5/2]*</v>
      </c>
      <c r="C627" t="str">
        <f>"2"</f>
        <v>2</v>
      </c>
      <c r="D627" t="str">
        <f>""</f>
        <v/>
      </c>
      <c r="E627" t="str">
        <f>"57743.370"</f>
        <v>57743.370</v>
      </c>
      <c r="F627" t="str">
        <f>""</f>
        <v/>
      </c>
      <c r="G627" t="str">
        <f>"0.002"</f>
        <v>0.002</v>
      </c>
      <c r="H627" t="str">
        <f>""</f>
        <v/>
      </c>
      <c r="I627" t="str">
        <f t="shared" si="74"/>
        <v xml:space="preserve">                                                     </v>
      </c>
      <c r="J627" t="str">
        <f>""</f>
        <v/>
      </c>
    </row>
    <row r="628" spans="1:10">
      <c r="A628" s="1" t="str">
        <f>"3d6.4s.(6D&lt;1/2&gt;).4f"</f>
        <v>3d6.4s.(6D&lt;1/2&gt;).4f</v>
      </c>
      <c r="B628" t="str">
        <f>"2[7/2]*"</f>
        <v>2[7/2]*</v>
      </c>
      <c r="C628" t="str">
        <f>"4"</f>
        <v>4</v>
      </c>
      <c r="D628" t="str">
        <f>""</f>
        <v/>
      </c>
      <c r="E628" t="str">
        <f>"57743.133"</f>
        <v>57743.133</v>
      </c>
      <c r="F628" t="str">
        <f>""</f>
        <v/>
      </c>
      <c r="G628" t="str">
        <f>"0.001"</f>
        <v>0.001</v>
      </c>
      <c r="H628" t="str">
        <f>""</f>
        <v/>
      </c>
      <c r="I628" t="str">
        <f t="shared" si="74"/>
        <v xml:space="preserve">                                                     </v>
      </c>
      <c r="J628" t="str">
        <f>""</f>
        <v/>
      </c>
    </row>
    <row r="629" spans="1:10">
      <c r="A629" s="1" t="str">
        <f>"3d6.4s.(6D&lt;1/2&gt;).4f"</f>
        <v>3d6.4s.(6D&lt;1/2&gt;).4f</v>
      </c>
      <c r="B629" t="str">
        <f>"2[7/2]*"</f>
        <v>2[7/2]*</v>
      </c>
      <c r="C629" t="str">
        <f>"3"</f>
        <v>3</v>
      </c>
      <c r="D629" t="str">
        <f>""</f>
        <v/>
      </c>
      <c r="E629" t="str">
        <f>"57744.932"</f>
        <v>57744.932</v>
      </c>
      <c r="F629" t="str">
        <f>""</f>
        <v/>
      </c>
      <c r="G629" t="str">
        <f>"0.001"</f>
        <v>0.001</v>
      </c>
      <c r="H629" t="str">
        <f>""</f>
        <v/>
      </c>
      <c r="I629" t="str">
        <f t="shared" si="74"/>
        <v xml:space="preserve">                                                     </v>
      </c>
      <c r="J629" t="str">
        <f>""</f>
        <v/>
      </c>
    </row>
    <row r="630" spans="1:10">
      <c r="A630" s="1" t="str">
        <f>"3d6.4s.(4D).5p"</f>
        <v>3d6.4s.(4D).5p</v>
      </c>
      <c r="B630" t="str">
        <f>"5D*"</f>
        <v>5D*</v>
      </c>
      <c r="C630" t="str">
        <f>"4"</f>
        <v>4</v>
      </c>
      <c r="D630" t="str">
        <f>""</f>
        <v/>
      </c>
      <c r="E630" t="str">
        <f>"57763.824"</f>
        <v>57763.824</v>
      </c>
      <c r="F630" t="str">
        <f>""</f>
        <v/>
      </c>
      <c r="G630" t="str">
        <f>"0.002"</f>
        <v>0.002</v>
      </c>
      <c r="H630" t="str">
        <f>""</f>
        <v/>
      </c>
      <c r="I630" t="str">
        <f t="shared" si="74"/>
        <v xml:space="preserve">                                                     </v>
      </c>
      <c r="J630" t="str">
        <f>""</f>
        <v/>
      </c>
    </row>
    <row r="631" spans="1:10">
      <c r="A631" s="1" t="str">
        <f>"3d6.4s.(4D).5p"</f>
        <v>3d6.4s.(4D).5p</v>
      </c>
      <c r="B631" t="str">
        <f>"5D*"</f>
        <v>5D*</v>
      </c>
      <c r="C631" t="str">
        <f>"3"</f>
        <v>3</v>
      </c>
      <c r="D631" t="str">
        <f>""</f>
        <v/>
      </c>
      <c r="E631" t="str">
        <f>"58033.506"</f>
        <v>58033.506</v>
      </c>
      <c r="F631" t="str">
        <f>""</f>
        <v/>
      </c>
      <c r="G631" t="str">
        <f>"0.001"</f>
        <v>0.001</v>
      </c>
      <c r="H631" t="str">
        <f>""</f>
        <v/>
      </c>
      <c r="I631" t="str">
        <f t="shared" si="74"/>
        <v xml:space="preserve">                                                     </v>
      </c>
      <c r="J631" t="str">
        <f>""</f>
        <v/>
      </c>
    </row>
    <row r="632" spans="1:10">
      <c r="A632" s="1" t="str">
        <f>"3d6.4s.(4D).5p"</f>
        <v>3d6.4s.(4D).5p</v>
      </c>
      <c r="B632" t="str">
        <f>"5D*"</f>
        <v>5D*</v>
      </c>
      <c r="C632" t="str">
        <f>"2"</f>
        <v>2</v>
      </c>
      <c r="D632" t="str">
        <f>""</f>
        <v/>
      </c>
      <c r="E632" t="str">
        <f>"58330.568"</f>
        <v>58330.568</v>
      </c>
      <c r="F632" t="str">
        <f>""</f>
        <v/>
      </c>
      <c r="G632" t="str">
        <f>"0.002"</f>
        <v>0.002</v>
      </c>
      <c r="H632" t="str">
        <f>""</f>
        <v/>
      </c>
      <c r="I632" t="str">
        <f t="shared" si="74"/>
        <v xml:space="preserve">                                                     </v>
      </c>
      <c r="J632" t="str">
        <f>""</f>
        <v/>
      </c>
    </row>
    <row r="633" spans="1:10">
      <c r="A633" s="1" t="str">
        <f>"3d6.4s.(4D).5p"</f>
        <v>3d6.4s.(4D).5p</v>
      </c>
      <c r="B633" t="str">
        <f>"5D*"</f>
        <v>5D*</v>
      </c>
      <c r="C633" t="str">
        <f>"1"</f>
        <v>1</v>
      </c>
      <c r="D633" t="str">
        <f>""</f>
        <v/>
      </c>
      <c r="E633" t="str">
        <f>"58520.003"</f>
        <v>58520.003</v>
      </c>
      <c r="F633" t="str">
        <f>""</f>
        <v/>
      </c>
      <c r="G633" t="str">
        <f>"0.009"</f>
        <v>0.009</v>
      </c>
      <c r="H633" t="str">
        <f>""</f>
        <v/>
      </c>
      <c r="I633" t="str">
        <f t="shared" si="74"/>
        <v xml:space="preserve">                                                     </v>
      </c>
      <c r="J633" t="str">
        <f>""</f>
        <v/>
      </c>
    </row>
    <row r="634" spans="1:10">
      <c r="A634" s="1" t="str">
        <f>"3d6.(5D).4s (6D).7s"</f>
        <v>3d6.(5D).4s (6D).7s</v>
      </c>
      <c r="B634" t="str">
        <f>"7D"</f>
        <v>7D</v>
      </c>
      <c r="C634" t="str">
        <f>"5"</f>
        <v>5</v>
      </c>
      <c r="D634" t="str">
        <f>""</f>
        <v/>
      </c>
      <c r="E634" t="str">
        <f>"57897.051"</f>
        <v>57897.051</v>
      </c>
      <c r="F634" t="str">
        <f>""</f>
        <v/>
      </c>
      <c r="G634" t="str">
        <f>"0.005"</f>
        <v>0.005</v>
      </c>
      <c r="H634" t="str">
        <f>""</f>
        <v/>
      </c>
      <c r="I634" t="str">
        <f t="shared" si="74"/>
        <v xml:space="preserve">                                                     </v>
      </c>
      <c r="J634" t="str">
        <f>""</f>
        <v/>
      </c>
    </row>
    <row r="635" spans="1:10">
      <c r="A635" s="1" t="str">
        <f>"3d6.4s.(4D).5p"</f>
        <v>3d6.4s.(4D).5p</v>
      </c>
      <c r="B635" t="str">
        <f>"3F*"</f>
        <v>3F*</v>
      </c>
      <c r="C635" t="str">
        <f>"4"</f>
        <v>4</v>
      </c>
      <c r="D635" t="str">
        <f>""</f>
        <v/>
      </c>
      <c r="E635" t="str">
        <f>"57917.254"</f>
        <v>57917.254</v>
      </c>
      <c r="F635" t="str">
        <f>""</f>
        <v/>
      </c>
      <c r="G635" t="str">
        <f>"0.003"</f>
        <v>0.003</v>
      </c>
      <c r="H635" t="str">
        <f>""</f>
        <v/>
      </c>
      <c r="I635" t="str">
        <f t="shared" si="74"/>
        <v xml:space="preserve">                                                     </v>
      </c>
      <c r="J635" t="str">
        <f>""</f>
        <v/>
      </c>
    </row>
    <row r="636" spans="1:10">
      <c r="A636" s="1" t="str">
        <f>"3d6.4s.(4D).5p"</f>
        <v>3d6.4s.(4D).5p</v>
      </c>
      <c r="B636" t="str">
        <f>"3F*"</f>
        <v>3F*</v>
      </c>
      <c r="C636" t="str">
        <f>"2"</f>
        <v>2</v>
      </c>
      <c r="D636" t="str">
        <f>""</f>
        <v/>
      </c>
      <c r="E636" t="str">
        <f>"58961.996"</f>
        <v>58961.996</v>
      </c>
      <c r="F636" t="str">
        <f>""</f>
        <v/>
      </c>
      <c r="G636" t="str">
        <f>"0.002"</f>
        <v>0.002</v>
      </c>
      <c r="H636" t="str">
        <f>""</f>
        <v/>
      </c>
      <c r="I636" t="str">
        <f t="shared" si="74"/>
        <v xml:space="preserve">                                                     </v>
      </c>
      <c r="J636" t="str">
        <f>""</f>
        <v/>
      </c>
    </row>
    <row r="637" spans="1:10">
      <c r="A637" s="1" t="str">
        <f>"3d6.4s.(4D).5p"</f>
        <v>3d6.4s.(4D).5p</v>
      </c>
      <c r="B637" t="str">
        <f>"3F*"</f>
        <v>3F*</v>
      </c>
      <c r="C637" t="str">
        <f>"3"</f>
        <v>3</v>
      </c>
      <c r="D637" t="str">
        <f>""</f>
        <v/>
      </c>
      <c r="E637" t="str">
        <f>"59089.628"</f>
        <v>59089.628</v>
      </c>
      <c r="F637" t="str">
        <f>""</f>
        <v/>
      </c>
      <c r="G637" t="str">
        <f>"0.003"</f>
        <v>0.003</v>
      </c>
      <c r="H637" t="str">
        <f>""</f>
        <v/>
      </c>
      <c r="I637" t="str">
        <f t="shared" si="74"/>
        <v xml:space="preserve">                                                     </v>
      </c>
      <c r="J637" t="str">
        <f>""</f>
        <v/>
      </c>
    </row>
    <row r="638" spans="1:10">
      <c r="A638" s="1" t="str">
        <f>"3d6.4s.(4D).5p"</f>
        <v>3d6.4s.(4D).5p</v>
      </c>
      <c r="B638" t="str">
        <f>"3P*"</f>
        <v>3P*</v>
      </c>
      <c r="C638" t="str">
        <f>"2"</f>
        <v>2</v>
      </c>
      <c r="D638" t="str">
        <f>""</f>
        <v/>
      </c>
      <c r="E638" t="str">
        <f>"57999.461"</f>
        <v>57999.461</v>
      </c>
      <c r="F638" t="str">
        <f>""</f>
        <v/>
      </c>
      <c r="G638" t="str">
        <f>"0.009"</f>
        <v>0.009</v>
      </c>
      <c r="H638" t="str">
        <f>""</f>
        <v/>
      </c>
      <c r="I638" t="str">
        <f t="shared" si="74"/>
        <v xml:space="preserve">                                                     </v>
      </c>
      <c r="J638" t="str">
        <f>""</f>
        <v/>
      </c>
    </row>
    <row r="639" spans="1:10">
      <c r="A639" s="1" t="str">
        <f>"3d6.4s.(4D).5p"</f>
        <v>3d6.4s.(4D).5p</v>
      </c>
      <c r="B639" t="str">
        <f>"3P*"</f>
        <v>3P*</v>
      </c>
      <c r="C639" t="str">
        <f>"1"</f>
        <v>1</v>
      </c>
      <c r="D639" t="str">
        <f>""</f>
        <v/>
      </c>
      <c r="E639" t="str">
        <f>"59343.807"</f>
        <v>59343.807</v>
      </c>
      <c r="F639" t="str">
        <f>""</f>
        <v/>
      </c>
      <c r="G639" t="str">
        <f>"0.002"</f>
        <v>0.002</v>
      </c>
      <c r="H639" t="str">
        <f>""</f>
        <v/>
      </c>
      <c r="I639" t="str">
        <f t="shared" si="74"/>
        <v xml:space="preserve">                                                     </v>
      </c>
      <c r="J639" t="str">
        <f>""</f>
        <v/>
      </c>
    </row>
    <row r="640" spans="1:10">
      <c r="A640" s="1" t="str">
        <f>"3d6.(5D).4s (4D).4d"</f>
        <v>3d6.(5D).4s (4D).4d</v>
      </c>
      <c r="B640" t="str">
        <f>"g 5G"</f>
        <v>g 5G</v>
      </c>
      <c r="C640" t="str">
        <f>"6"</f>
        <v>6</v>
      </c>
      <c r="D640" t="str">
        <f>""</f>
        <v/>
      </c>
      <c r="E640" t="str">
        <f>"58001.938"</f>
        <v>58001.938</v>
      </c>
      <c r="F640" t="str">
        <f>""</f>
        <v/>
      </c>
      <c r="G640" t="str">
        <f>"0.002"</f>
        <v>0.002</v>
      </c>
      <c r="H640" t="str">
        <f>"1.40?"</f>
        <v>1.40?</v>
      </c>
      <c r="I640" t="str">
        <f t="shared" si="74"/>
        <v xml:space="preserve">                                                     </v>
      </c>
      <c r="J640" t="str">
        <f>""</f>
        <v/>
      </c>
    </row>
    <row r="641" spans="1:10">
      <c r="A641" s="1" t="str">
        <f>"3d6.(5D).4s (4D).4d"</f>
        <v>3d6.(5D).4s (4D).4d</v>
      </c>
      <c r="B641" t="str">
        <f>"g 5G"</f>
        <v>g 5G</v>
      </c>
      <c r="C641" t="str">
        <f>"5"</f>
        <v>5</v>
      </c>
      <c r="D641" t="str">
        <f>""</f>
        <v/>
      </c>
      <c r="E641" t="str">
        <f>"58271.462"</f>
        <v>58271.462</v>
      </c>
      <c r="F641" t="str">
        <f>""</f>
        <v/>
      </c>
      <c r="G641" t="str">
        <f>"0.003"</f>
        <v>0.003</v>
      </c>
      <c r="H641" t="str">
        <f>""</f>
        <v/>
      </c>
      <c r="I641" t="str">
        <f t="shared" ref="I641:I672" si="75">"                                                     "</f>
        <v xml:space="preserve">                                                     </v>
      </c>
      <c r="J641" t="str">
        <f>""</f>
        <v/>
      </c>
    </row>
    <row r="642" spans="1:10">
      <c r="A642" s="1" t="str">
        <f>"3d6.(5D).4s (4D).4d"</f>
        <v>3d6.(5D).4s (4D).4d</v>
      </c>
      <c r="B642" t="str">
        <f>"g 5G"</f>
        <v>g 5G</v>
      </c>
      <c r="C642" t="str">
        <f>"4"</f>
        <v>4</v>
      </c>
      <c r="D642" t="str">
        <f>""</f>
        <v/>
      </c>
      <c r="E642" t="str">
        <f>"58520.163"</f>
        <v>58520.163</v>
      </c>
      <c r="F642" t="str">
        <f>""</f>
        <v/>
      </c>
      <c r="G642" t="str">
        <f>"0.002"</f>
        <v>0.002</v>
      </c>
      <c r="H642" t="str">
        <f>""</f>
        <v/>
      </c>
      <c r="I642" t="str">
        <f t="shared" si="75"/>
        <v xml:space="preserve">                                                     </v>
      </c>
      <c r="J642" t="str">
        <f>""</f>
        <v/>
      </c>
    </row>
    <row r="643" spans="1:10">
      <c r="A643" s="1" t="str">
        <f>"3d6.(5D).4s (4D).4d"</f>
        <v>3d6.(5D).4s (4D).4d</v>
      </c>
      <c r="B643" t="str">
        <f>"g 5G"</f>
        <v>g 5G</v>
      </c>
      <c r="C643" t="str">
        <f>"3"</f>
        <v>3</v>
      </c>
      <c r="D643" t="str">
        <f>""</f>
        <v/>
      </c>
      <c r="E643" t="str">
        <f>"58710.047"</f>
        <v>58710.047</v>
      </c>
      <c r="F643" t="str">
        <f>""</f>
        <v/>
      </c>
      <c r="G643" t="str">
        <f>"0.003"</f>
        <v>0.003</v>
      </c>
      <c r="H643" t="str">
        <f>""</f>
        <v/>
      </c>
      <c r="I643" t="str">
        <f t="shared" si="75"/>
        <v xml:space="preserve">                                                     </v>
      </c>
      <c r="J643" t="str">
        <f>""</f>
        <v/>
      </c>
    </row>
    <row r="644" spans="1:10">
      <c r="A644" s="1" t="str">
        <f>"3d6.(5D).4s (4D).4d"</f>
        <v>3d6.(5D).4s (4D).4d</v>
      </c>
      <c r="B644" t="str">
        <f>"g 5G"</f>
        <v>g 5G</v>
      </c>
      <c r="C644" t="str">
        <f>"2"</f>
        <v>2</v>
      </c>
      <c r="D644" t="str">
        <f>""</f>
        <v/>
      </c>
      <c r="E644" t="str">
        <f>"58824.845"</f>
        <v>58824.845</v>
      </c>
      <c r="F644" t="str">
        <f>""</f>
        <v/>
      </c>
      <c r="G644" t="str">
        <f>"0.003"</f>
        <v>0.003</v>
      </c>
      <c r="H644" t="str">
        <f>"0.343"</f>
        <v>0.343</v>
      </c>
      <c r="I644" t="str">
        <f t="shared" si="75"/>
        <v xml:space="preserve">                                                     </v>
      </c>
      <c r="J644" t="str">
        <f>""</f>
        <v/>
      </c>
    </row>
    <row r="645" spans="1:10">
      <c r="A645" s="1" t="str">
        <f>"3d6.(3H).4s.4p.(1P*)"</f>
        <v>3d6.(3H).4s.4p.(1P*)</v>
      </c>
      <c r="B645" t="str">
        <f>"3G*"</f>
        <v>3G*</v>
      </c>
      <c r="C645" t="str">
        <f>"5"</f>
        <v>5</v>
      </c>
      <c r="D645" t="str">
        <f>""</f>
        <v/>
      </c>
      <c r="E645" t="str">
        <f>"58018.561"</f>
        <v>58018.561</v>
      </c>
      <c r="F645" t="str">
        <f>""</f>
        <v/>
      </c>
      <c r="G645" t="str">
        <f>"0.003"</f>
        <v>0.003</v>
      </c>
      <c r="H645" t="str">
        <f>""</f>
        <v/>
      </c>
      <c r="I645" t="str">
        <f t="shared" si="75"/>
        <v xml:space="preserve">                                                     </v>
      </c>
      <c r="J645" t="str">
        <f>""</f>
        <v/>
      </c>
    </row>
    <row r="646" spans="1:10">
      <c r="A646" s="1" t="str">
        <f>"3d6.(3H).4s.4p.(1P*)"</f>
        <v>3d6.(3H).4s.4p.(1P*)</v>
      </c>
      <c r="B646" t="str">
        <f>"3G*"</f>
        <v>3G*</v>
      </c>
      <c r="C646" t="str">
        <f>"4"</f>
        <v>4</v>
      </c>
      <c r="D646" t="str">
        <f>""</f>
        <v/>
      </c>
      <c r="E646" t="str">
        <f>"58334.613"</f>
        <v>58334.613</v>
      </c>
      <c r="F646" t="str">
        <f>""</f>
        <v/>
      </c>
      <c r="G646" t="str">
        <f>"0.003"</f>
        <v>0.003</v>
      </c>
      <c r="H646" t="str">
        <f>""</f>
        <v/>
      </c>
      <c r="I646" t="str">
        <f t="shared" si="75"/>
        <v xml:space="preserve">                                                     </v>
      </c>
      <c r="J646" t="str">
        <f>""</f>
        <v/>
      </c>
    </row>
    <row r="647" spans="1:10">
      <c r="A647" s="1" t="str">
        <f>"3d6.(3H).4s.4p.(1P*)"</f>
        <v>3d6.(3H).4s.4p.(1P*)</v>
      </c>
      <c r="B647" t="str">
        <f>"3G*"</f>
        <v>3G*</v>
      </c>
      <c r="C647" t="str">
        <f>"3"</f>
        <v>3</v>
      </c>
      <c r="D647" t="str">
        <f>""</f>
        <v/>
      </c>
      <c r="E647" t="str">
        <f>"58600.344"</f>
        <v>58600.344</v>
      </c>
      <c r="F647" t="str">
        <f>""</f>
        <v/>
      </c>
      <c r="G647" t="str">
        <f>"0.003"</f>
        <v>0.003</v>
      </c>
      <c r="H647" t="str">
        <f>""</f>
        <v/>
      </c>
      <c r="I647" t="str">
        <f t="shared" si="75"/>
        <v xml:space="preserve">                                                     </v>
      </c>
      <c r="J647" t="str">
        <f>""</f>
        <v/>
      </c>
    </row>
    <row r="648" spans="1:10">
      <c r="A648" s="1" t="str">
        <f t="shared" ref="A648:A655" si="76">"3d6.4s.(4D).5p"</f>
        <v>3d6.4s.(4D).5p</v>
      </c>
      <c r="B648" t="str">
        <f>"3D*"</f>
        <v>3D*</v>
      </c>
      <c r="C648" t="str">
        <f>"2"</f>
        <v>2</v>
      </c>
      <c r="D648" t="str">
        <f>""</f>
        <v/>
      </c>
      <c r="E648" t="str">
        <f>"58132.249"</f>
        <v>58132.249</v>
      </c>
      <c r="F648" t="str">
        <f>""</f>
        <v/>
      </c>
      <c r="G648" t="str">
        <f>"0.002"</f>
        <v>0.002</v>
      </c>
      <c r="H648" t="str">
        <f>""</f>
        <v/>
      </c>
      <c r="I648" t="str">
        <f t="shared" si="75"/>
        <v xml:space="preserve">                                                     </v>
      </c>
      <c r="J648" t="str">
        <f>""</f>
        <v/>
      </c>
    </row>
    <row r="649" spans="1:10">
      <c r="A649" s="1" t="str">
        <f t="shared" si="76"/>
        <v>3d6.4s.(4D).5p</v>
      </c>
      <c r="B649" t="str">
        <f>"3D*"</f>
        <v>3D*</v>
      </c>
      <c r="C649" t="str">
        <f>"3"</f>
        <v>3</v>
      </c>
      <c r="D649" t="str">
        <f>""</f>
        <v/>
      </c>
      <c r="E649" t="str">
        <f>"58276.260"</f>
        <v>58276.260</v>
      </c>
      <c r="F649" t="str">
        <f>""</f>
        <v/>
      </c>
      <c r="G649" t="str">
        <f>"0.003"</f>
        <v>0.003</v>
      </c>
      <c r="H649" t="str">
        <f>""</f>
        <v/>
      </c>
      <c r="I649" t="str">
        <f t="shared" si="75"/>
        <v xml:space="preserve">                                                     </v>
      </c>
      <c r="J649" t="str">
        <f>""</f>
        <v/>
      </c>
    </row>
    <row r="650" spans="1:10">
      <c r="A650" s="1" t="str">
        <f t="shared" si="76"/>
        <v>3d6.4s.(4D).5p</v>
      </c>
      <c r="B650" t="str">
        <f>"3D*"</f>
        <v>3D*</v>
      </c>
      <c r="C650" t="str">
        <f>"1"</f>
        <v>1</v>
      </c>
      <c r="D650" t="str">
        <f>""</f>
        <v/>
      </c>
      <c r="E650" t="str">
        <f>"58394.864"</f>
        <v>58394.864</v>
      </c>
      <c r="F650" t="str">
        <f>""</f>
        <v/>
      </c>
      <c r="G650" t="str">
        <f t="shared" ref="G650:G655" si="77">"0.002"</f>
        <v>0.002</v>
      </c>
      <c r="H650" t="str">
        <f>""</f>
        <v/>
      </c>
      <c r="I650" t="str">
        <f t="shared" si="75"/>
        <v xml:space="preserve">                                                     </v>
      </c>
      <c r="J650" t="str">
        <f>""</f>
        <v/>
      </c>
    </row>
    <row r="651" spans="1:10">
      <c r="A651" s="1" t="str">
        <f t="shared" si="76"/>
        <v>3d6.4s.(4D).5p</v>
      </c>
      <c r="B651" t="str">
        <f>"5F*"</f>
        <v>5F*</v>
      </c>
      <c r="C651" t="str">
        <f>"5"</f>
        <v>5</v>
      </c>
      <c r="D651" t="str">
        <f>""</f>
        <v/>
      </c>
      <c r="E651" t="str">
        <f>"58147.007"</f>
        <v>58147.007</v>
      </c>
      <c r="F651" t="str">
        <f>""</f>
        <v/>
      </c>
      <c r="G651" t="str">
        <f t="shared" si="77"/>
        <v>0.002</v>
      </c>
      <c r="H651" t="str">
        <f>""</f>
        <v/>
      </c>
      <c r="I651" t="str">
        <f t="shared" si="75"/>
        <v xml:space="preserve">                                                     </v>
      </c>
      <c r="J651" t="str">
        <f>""</f>
        <v/>
      </c>
    </row>
    <row r="652" spans="1:10">
      <c r="A652" s="1" t="str">
        <f t="shared" si="76"/>
        <v>3d6.4s.(4D).5p</v>
      </c>
      <c r="B652" t="str">
        <f>"5F*"</f>
        <v>5F*</v>
      </c>
      <c r="C652" t="str">
        <f>"4"</f>
        <v>4</v>
      </c>
      <c r="D652" t="str">
        <f>""</f>
        <v/>
      </c>
      <c r="E652" t="str">
        <f>"58481.301"</f>
        <v>58481.301</v>
      </c>
      <c r="F652" t="str">
        <f>""</f>
        <v/>
      </c>
      <c r="G652" t="str">
        <f t="shared" si="77"/>
        <v>0.002</v>
      </c>
      <c r="H652" t="str">
        <f>""</f>
        <v/>
      </c>
      <c r="I652" t="str">
        <f t="shared" si="75"/>
        <v xml:space="preserve">                                                     </v>
      </c>
      <c r="J652" t="str">
        <f>""</f>
        <v/>
      </c>
    </row>
    <row r="653" spans="1:10">
      <c r="A653" s="1" t="str">
        <f t="shared" si="76"/>
        <v>3d6.4s.(4D).5p</v>
      </c>
      <c r="B653" t="str">
        <f>"5F*"</f>
        <v>5F*</v>
      </c>
      <c r="C653" t="str">
        <f>"3"</f>
        <v>3</v>
      </c>
      <c r="D653" t="str">
        <f>""</f>
        <v/>
      </c>
      <c r="E653" t="str">
        <f>"58757.628"</f>
        <v>58757.628</v>
      </c>
      <c r="F653" t="str">
        <f>""</f>
        <v/>
      </c>
      <c r="G653" t="str">
        <f t="shared" si="77"/>
        <v>0.002</v>
      </c>
      <c r="H653" t="str">
        <f>""</f>
        <v/>
      </c>
      <c r="I653" t="str">
        <f t="shared" si="75"/>
        <v xml:space="preserve">                                                     </v>
      </c>
      <c r="J653" t="str">
        <f>""</f>
        <v/>
      </c>
    </row>
    <row r="654" spans="1:10">
      <c r="A654" s="1" t="str">
        <f t="shared" si="76"/>
        <v>3d6.4s.(4D).5p</v>
      </c>
      <c r="B654" t="str">
        <f>"5F*"</f>
        <v>5F*</v>
      </c>
      <c r="C654" t="str">
        <f>"2"</f>
        <v>2</v>
      </c>
      <c r="D654" t="str">
        <f>""</f>
        <v/>
      </c>
      <c r="E654" t="str">
        <f>"58906.116"</f>
        <v>58906.116</v>
      </c>
      <c r="F654" t="str">
        <f>""</f>
        <v/>
      </c>
      <c r="G654" t="str">
        <f t="shared" si="77"/>
        <v>0.002</v>
      </c>
      <c r="H654" t="str">
        <f>""</f>
        <v/>
      </c>
      <c r="I654" t="str">
        <f t="shared" si="75"/>
        <v xml:space="preserve">                                                     </v>
      </c>
      <c r="J654" t="str">
        <f>""</f>
        <v/>
      </c>
    </row>
    <row r="655" spans="1:10">
      <c r="A655" s="1" t="str">
        <f t="shared" si="76"/>
        <v>3d6.4s.(4D).5p</v>
      </c>
      <c r="B655" t="str">
        <f>"5F*"</f>
        <v>5F*</v>
      </c>
      <c r="C655" t="str">
        <f>"1"</f>
        <v>1</v>
      </c>
      <c r="D655" t="str">
        <f>""</f>
        <v/>
      </c>
      <c r="E655" t="str">
        <f>"58977.502"</f>
        <v>58977.502</v>
      </c>
      <c r="F655" t="str">
        <f>""</f>
        <v/>
      </c>
      <c r="G655" t="str">
        <f t="shared" si="77"/>
        <v>0.002</v>
      </c>
      <c r="H655" t="str">
        <f>""</f>
        <v/>
      </c>
      <c r="I655" t="str">
        <f t="shared" si="75"/>
        <v xml:space="preserve">                                                     </v>
      </c>
      <c r="J655" t="str">
        <f>""</f>
        <v/>
      </c>
    </row>
    <row r="656" spans="1:10">
      <c r="A656" s="1" t="str">
        <f>"3d6.4s.(6D).7s"</f>
        <v>3d6.4s.(6D).7s</v>
      </c>
      <c r="B656" t="str">
        <f>"7D"</f>
        <v>7D</v>
      </c>
      <c r="C656" t="str">
        <f>"4"</f>
        <v>4</v>
      </c>
      <c r="D656" t="str">
        <f>""</f>
        <v/>
      </c>
      <c r="E656" t="str">
        <f>"58197.914"</f>
        <v>58197.914</v>
      </c>
      <c r="F656" t="str">
        <f>""</f>
        <v/>
      </c>
      <c r="G656" t="str">
        <f>"0.003"</f>
        <v>0.003</v>
      </c>
      <c r="H656" t="str">
        <f>""</f>
        <v/>
      </c>
      <c r="I656" t="str">
        <f t="shared" si="75"/>
        <v xml:space="preserve">                                                     </v>
      </c>
      <c r="J656" t="str">
        <f>""</f>
        <v/>
      </c>
    </row>
    <row r="657" spans="1:10">
      <c r="A657" s="1" t="str">
        <f>"3d6.4s.(6D).7s"</f>
        <v>3d6.4s.(6D).7s</v>
      </c>
      <c r="B657" t="str">
        <f>"7D"</f>
        <v>7D</v>
      </c>
      <c r="C657" t="str">
        <f>"3"</f>
        <v>3</v>
      </c>
      <c r="D657" t="str">
        <f>""</f>
        <v/>
      </c>
      <c r="E657" t="str">
        <f>"58480.308"</f>
        <v>58480.308</v>
      </c>
      <c r="F657" t="str">
        <f>""</f>
        <v/>
      </c>
      <c r="G657" t="str">
        <f>"0.003"</f>
        <v>0.003</v>
      </c>
      <c r="H657" t="str">
        <f>""</f>
        <v/>
      </c>
      <c r="I657" t="str">
        <f t="shared" si="75"/>
        <v xml:space="preserve">                                                     </v>
      </c>
      <c r="J657" t="str">
        <f>""</f>
        <v/>
      </c>
    </row>
    <row r="658" spans="1:10">
      <c r="A658" s="1" t="str">
        <f>"3d6.4s.(6D).7s"</f>
        <v>3d6.4s.(6D).7s</v>
      </c>
      <c r="B658" t="str">
        <f>"7D"</f>
        <v>7D</v>
      </c>
      <c r="C658" t="str">
        <f>"2"</f>
        <v>2</v>
      </c>
      <c r="D658" t="str">
        <f>""</f>
        <v/>
      </c>
      <c r="E658" t="str">
        <f>"58683.804"</f>
        <v>58683.804</v>
      </c>
      <c r="F658" t="str">
        <f>""</f>
        <v/>
      </c>
      <c r="G658" t="str">
        <f>"0.003"</f>
        <v>0.003</v>
      </c>
      <c r="H658" t="str">
        <f>""</f>
        <v/>
      </c>
      <c r="I658" t="str">
        <f t="shared" si="75"/>
        <v xml:space="preserve">                                                     </v>
      </c>
      <c r="J658" t="str">
        <f>""</f>
        <v/>
      </c>
    </row>
    <row r="659" spans="1:10">
      <c r="A659" s="1" t="str">
        <f>"3d6.4s.(6D).7s"</f>
        <v>3d6.4s.(6D).7s</v>
      </c>
      <c r="B659" t="str">
        <f>"7D"</f>
        <v>7D</v>
      </c>
      <c r="C659" t="str">
        <f>"1"</f>
        <v>1</v>
      </c>
      <c r="D659" t="str">
        <f>""</f>
        <v/>
      </c>
      <c r="E659" t="str">
        <f>"58759.579"</f>
        <v>58759.579</v>
      </c>
      <c r="F659" t="str">
        <f>""</f>
        <v/>
      </c>
      <c r="G659" t="str">
        <f>"0.003"</f>
        <v>0.003</v>
      </c>
      <c r="H659" t="str">
        <f>""</f>
        <v/>
      </c>
      <c r="I659" t="str">
        <f t="shared" si="75"/>
        <v xml:space="preserve">                                                     </v>
      </c>
      <c r="J659" t="str">
        <f>""</f>
        <v/>
      </c>
    </row>
    <row r="660" spans="1:10">
      <c r="A660" s="1" t="str">
        <f>"3d6.4s.(4D).4d"</f>
        <v>3d6.4s.(4D).4d</v>
      </c>
      <c r="B660" t="str">
        <f>"5P"</f>
        <v>5P</v>
      </c>
      <c r="C660" t="str">
        <f>"2"</f>
        <v>2</v>
      </c>
      <c r="D660" t="str">
        <f>""</f>
        <v/>
      </c>
      <c r="E660" t="str">
        <f>"58213.124"</f>
        <v>58213.124</v>
      </c>
      <c r="F660" t="str">
        <f>""</f>
        <v/>
      </c>
      <c r="G660" t="str">
        <f>"0.002"</f>
        <v>0.002</v>
      </c>
      <c r="H660" t="str">
        <f>""</f>
        <v/>
      </c>
      <c r="I660" t="str">
        <f t="shared" si="75"/>
        <v xml:space="preserve">                                                     </v>
      </c>
      <c r="J660" t="str">
        <f>""</f>
        <v/>
      </c>
    </row>
    <row r="661" spans="1:10">
      <c r="A661" s="1" t="str">
        <f>"3d6.4s.(4D).4d"</f>
        <v>3d6.4s.(4D).4d</v>
      </c>
      <c r="B661" t="str">
        <f>"5P"</f>
        <v>5P</v>
      </c>
      <c r="C661" t="str">
        <f>"3"</f>
        <v>3</v>
      </c>
      <c r="D661" t="str">
        <f>""</f>
        <v/>
      </c>
      <c r="E661" t="str">
        <f>"58481.855"</f>
        <v>58481.855</v>
      </c>
      <c r="F661" t="str">
        <f>""</f>
        <v/>
      </c>
      <c r="G661" t="str">
        <f>"0.003"</f>
        <v>0.003</v>
      </c>
      <c r="H661" t="str">
        <f>""</f>
        <v/>
      </c>
      <c r="I661" t="str">
        <f t="shared" si="75"/>
        <v xml:space="preserve">                                                     </v>
      </c>
      <c r="J661" t="str">
        <f>""</f>
        <v/>
      </c>
    </row>
    <row r="662" spans="1:10">
      <c r="A662" s="1" t="str">
        <f>"3d6.4s.(6D).7s"</f>
        <v>3d6.4s.(6D).7s</v>
      </c>
      <c r="B662" t="str">
        <f>"5D"</f>
        <v>5D</v>
      </c>
      <c r="C662" t="str">
        <f>"4"</f>
        <v>4</v>
      </c>
      <c r="D662" t="str">
        <f>""</f>
        <v/>
      </c>
      <c r="E662" t="str">
        <f>"58321.383"</f>
        <v>58321.383</v>
      </c>
      <c r="F662" t="str">
        <f>""</f>
        <v/>
      </c>
      <c r="G662" t="str">
        <f>"0.003"</f>
        <v>0.003</v>
      </c>
      <c r="H662" t="str">
        <f>""</f>
        <v/>
      </c>
      <c r="I662" t="str">
        <f t="shared" si="75"/>
        <v xml:space="preserve">                                                     </v>
      </c>
      <c r="J662" t="str">
        <f>""</f>
        <v/>
      </c>
    </row>
    <row r="663" spans="1:10">
      <c r="A663" s="1" t="str">
        <f>"3d6.4s.(6D).7s"</f>
        <v>3d6.4s.(6D).7s</v>
      </c>
      <c r="B663" t="str">
        <f>"5D"</f>
        <v>5D</v>
      </c>
      <c r="C663" t="str">
        <f>"3"</f>
        <v>3</v>
      </c>
      <c r="D663" t="str">
        <f>""</f>
        <v/>
      </c>
      <c r="E663" t="str">
        <f>"58762.456"</f>
        <v>58762.456</v>
      </c>
      <c r="F663" t="str">
        <f>""</f>
        <v/>
      </c>
      <c r="G663" t="str">
        <f>"0.002"</f>
        <v>0.002</v>
      </c>
      <c r="H663" t="str">
        <f>""</f>
        <v/>
      </c>
      <c r="I663" t="str">
        <f t="shared" si="75"/>
        <v xml:space="preserve">                                                     </v>
      </c>
      <c r="J663" t="str">
        <f>""</f>
        <v/>
      </c>
    </row>
    <row r="664" spans="1:10">
      <c r="A664" s="1" t="str">
        <f>"3d6.4s.(6D).7s"</f>
        <v>3d6.4s.(6D).7s</v>
      </c>
      <c r="B664" t="str">
        <f>"5D"</f>
        <v>5D</v>
      </c>
      <c r="C664" t="str">
        <f>"2"</f>
        <v>2</v>
      </c>
      <c r="D664" t="str">
        <f>""</f>
        <v/>
      </c>
      <c r="E664" t="str">
        <f>"59035.762"</f>
        <v>59035.762</v>
      </c>
      <c r="F664" t="str">
        <f>""</f>
        <v/>
      </c>
      <c r="G664" t="str">
        <f>"0.004"</f>
        <v>0.004</v>
      </c>
      <c r="H664" t="str">
        <f>""</f>
        <v/>
      </c>
      <c r="I664" t="str">
        <f t="shared" si="75"/>
        <v xml:space="preserve">                                                     </v>
      </c>
      <c r="J664" t="str">
        <f>""</f>
        <v/>
      </c>
    </row>
    <row r="665" spans="1:10">
      <c r="A665" s="1" t="str">
        <f>"3d6.4s.(6D).7s"</f>
        <v>3d6.4s.(6D).7s</v>
      </c>
      <c r="B665" t="str">
        <f>"5D"</f>
        <v>5D</v>
      </c>
      <c r="C665" t="str">
        <f>"1"</f>
        <v>1</v>
      </c>
      <c r="D665" t="str">
        <f>""</f>
        <v/>
      </c>
      <c r="E665" t="str">
        <f>"59113.339"</f>
        <v>59113.339</v>
      </c>
      <c r="F665" t="str">
        <f>""</f>
        <v/>
      </c>
      <c r="G665" t="str">
        <f>"0.004"</f>
        <v>0.004</v>
      </c>
      <c r="H665" t="str">
        <f>""</f>
        <v/>
      </c>
      <c r="I665" t="str">
        <f t="shared" si="75"/>
        <v xml:space="preserve">                                                     </v>
      </c>
      <c r="J665" t="str">
        <f>""</f>
        <v/>
      </c>
    </row>
    <row r="666" spans="1:10">
      <c r="A666" s="1" t="str">
        <f>"3d6.4s.(4D).4d"</f>
        <v>3d6.4s.(4D).4d</v>
      </c>
      <c r="B666" t="str">
        <f>"3G"</f>
        <v>3G</v>
      </c>
      <c r="C666" t="str">
        <f>"5"</f>
        <v>5</v>
      </c>
      <c r="D666" t="str">
        <f>""</f>
        <v/>
      </c>
      <c r="E666" t="str">
        <f>"58492.235"</f>
        <v>58492.235</v>
      </c>
      <c r="F666" t="str">
        <f>""</f>
        <v/>
      </c>
      <c r="G666" t="str">
        <f>"0.003"</f>
        <v>0.003</v>
      </c>
      <c r="H666" t="str">
        <f>""</f>
        <v/>
      </c>
      <c r="I666" t="str">
        <f t="shared" si="75"/>
        <v xml:space="preserve">                                                     </v>
      </c>
      <c r="J666" t="str">
        <f>""</f>
        <v/>
      </c>
    </row>
    <row r="667" spans="1:10">
      <c r="A667" s="1" t="str">
        <f>"3d6.4s.(4D).4d"</f>
        <v>3d6.4s.(4D).4d</v>
      </c>
      <c r="B667" t="str">
        <f>"3G"</f>
        <v>3G</v>
      </c>
      <c r="C667" t="str">
        <f>"4"</f>
        <v>4</v>
      </c>
      <c r="D667" t="str">
        <f>""</f>
        <v/>
      </c>
      <c r="E667" t="str">
        <f>"58965.275"</f>
        <v>58965.275</v>
      </c>
      <c r="F667" t="str">
        <f>""</f>
        <v/>
      </c>
      <c r="G667" t="str">
        <f>"0.003"</f>
        <v>0.003</v>
      </c>
      <c r="H667" t="str">
        <f>""</f>
        <v/>
      </c>
      <c r="I667" t="str">
        <f t="shared" si="75"/>
        <v xml:space="preserve">                                                     </v>
      </c>
      <c r="J667" t="str">
        <f>""</f>
        <v/>
      </c>
    </row>
    <row r="668" spans="1:10">
      <c r="A668" s="1" t="str">
        <f>"3d7.(4F).5d"</f>
        <v>3d7.(4F).5d</v>
      </c>
      <c r="B668" t="str">
        <f>"5F"</f>
        <v>5F</v>
      </c>
      <c r="C668" t="str">
        <f>"5"</f>
        <v>5</v>
      </c>
      <c r="D668" t="str">
        <f>""</f>
        <v/>
      </c>
      <c r="E668" t="str">
        <f>"58591.206"</f>
        <v>58591.206</v>
      </c>
      <c r="F668" t="str">
        <f>""</f>
        <v/>
      </c>
      <c r="G668" t="str">
        <f>"0.002"</f>
        <v>0.002</v>
      </c>
      <c r="H668" t="str">
        <f>""</f>
        <v/>
      </c>
      <c r="I668" t="str">
        <f t="shared" si="75"/>
        <v xml:space="preserve">                                                     </v>
      </c>
      <c r="J668" t="str">
        <f>""</f>
        <v/>
      </c>
    </row>
    <row r="669" spans="1:10">
      <c r="A669" s="1" t="str">
        <f>"3d7.(4F).5d"</f>
        <v>3d7.(4F).5d</v>
      </c>
      <c r="B669" t="str">
        <f>"5F"</f>
        <v>5F</v>
      </c>
      <c r="C669" t="str">
        <f>"4"</f>
        <v>4</v>
      </c>
      <c r="D669" t="str">
        <f>""</f>
        <v/>
      </c>
      <c r="E669" t="str">
        <f>"58592.074"</f>
        <v>58592.074</v>
      </c>
      <c r="F669" t="str">
        <f>""</f>
        <v/>
      </c>
      <c r="G669" t="str">
        <f>"0.002"</f>
        <v>0.002</v>
      </c>
      <c r="H669" t="str">
        <f>""</f>
        <v/>
      </c>
      <c r="I669" t="str">
        <f t="shared" si="75"/>
        <v xml:space="preserve">                                                     </v>
      </c>
      <c r="J669" t="str">
        <f>""</f>
        <v/>
      </c>
    </row>
    <row r="670" spans="1:10">
      <c r="A670" s="1" t="str">
        <f>""</f>
        <v/>
      </c>
      <c r="B670" t="str">
        <f>"58661e"</f>
        <v>58661e</v>
      </c>
      <c r="C670" t="str">
        <f>"4"</f>
        <v>4</v>
      </c>
      <c r="D670" t="str">
        <f>""</f>
        <v/>
      </c>
      <c r="E670" t="str">
        <f>"58661.978"</f>
        <v>58661.978</v>
      </c>
      <c r="F670" t="str">
        <f>""</f>
        <v/>
      </c>
      <c r="G670" t="str">
        <f>"0.003"</f>
        <v>0.003</v>
      </c>
      <c r="H670" t="str">
        <f>""</f>
        <v/>
      </c>
      <c r="I670" t="str">
        <f t="shared" si="75"/>
        <v xml:space="preserve">                                                     </v>
      </c>
      <c r="J670" t="str">
        <f>""</f>
        <v/>
      </c>
    </row>
    <row r="671" spans="1:10">
      <c r="A671" s="1" t="str">
        <f>"3d6.4s.(4D).5p"</f>
        <v>3d6.4s.(4D).5p</v>
      </c>
      <c r="B671" t="str">
        <f>"5P*"</f>
        <v>5P*</v>
      </c>
      <c r="C671" t="str">
        <f>"3"</f>
        <v>3</v>
      </c>
      <c r="D671" t="str">
        <f>""</f>
        <v/>
      </c>
      <c r="E671" t="str">
        <f>"58674.459"</f>
        <v>58674.459</v>
      </c>
      <c r="F671" t="str">
        <f>""</f>
        <v/>
      </c>
      <c r="G671" t="str">
        <f>"0.002"</f>
        <v>0.002</v>
      </c>
      <c r="H671" t="str">
        <f>""</f>
        <v/>
      </c>
      <c r="I671" t="str">
        <f t="shared" si="75"/>
        <v xml:space="preserve">                                                     </v>
      </c>
      <c r="J671" t="str">
        <f>""</f>
        <v/>
      </c>
    </row>
    <row r="672" spans="1:10">
      <c r="A672" s="1" t="str">
        <f>"3d6.4s.(4D).5p"</f>
        <v>3d6.4s.(4D).5p</v>
      </c>
      <c r="B672" t="str">
        <f>"5P*"</f>
        <v>5P*</v>
      </c>
      <c r="C672" t="str">
        <f>"2"</f>
        <v>2</v>
      </c>
      <c r="D672" t="str">
        <f>""</f>
        <v/>
      </c>
      <c r="E672" t="str">
        <f>"59105.296"</f>
        <v>59105.296</v>
      </c>
      <c r="F672" t="str">
        <f>""</f>
        <v/>
      </c>
      <c r="G672" t="str">
        <f>"0.002"</f>
        <v>0.002</v>
      </c>
      <c r="H672" t="str">
        <f>""</f>
        <v/>
      </c>
      <c r="I672" t="str">
        <f t="shared" si="75"/>
        <v xml:space="preserve">                                                     </v>
      </c>
      <c r="J672" t="str">
        <f>""</f>
        <v/>
      </c>
    </row>
    <row r="673" spans="1:10">
      <c r="A673" s="1" t="str">
        <f>"3d6.4s.(4D).5p"</f>
        <v>3d6.4s.(4D).5p</v>
      </c>
      <c r="B673" t="str">
        <f>"5P*"</f>
        <v>5P*</v>
      </c>
      <c r="C673" t="str">
        <f>"1"</f>
        <v>1</v>
      </c>
      <c r="D673" t="str">
        <f>""</f>
        <v/>
      </c>
      <c r="E673" t="str">
        <f>"59360.198"</f>
        <v>59360.198</v>
      </c>
      <c r="F673" t="str">
        <f>""</f>
        <v/>
      </c>
      <c r="G673" t="str">
        <f>"0.003"</f>
        <v>0.003</v>
      </c>
      <c r="H673" t="str">
        <f>""</f>
        <v/>
      </c>
      <c r="I673" t="str">
        <f t="shared" ref="I673:I704" si="78">"                                                     "</f>
        <v xml:space="preserve">                                                     </v>
      </c>
      <c r="J673" t="str">
        <f>""</f>
        <v/>
      </c>
    </row>
    <row r="674" spans="1:10">
      <c r="A674" s="1" t="str">
        <f>"3d6.4s.(4D).4d"</f>
        <v>3d6.4s.(4D).4d</v>
      </c>
      <c r="B674" t="str">
        <f>"3D"</f>
        <v>3D</v>
      </c>
      <c r="C674" t="str">
        <f>"3"</f>
        <v>3</v>
      </c>
      <c r="D674" t="str">
        <f>""</f>
        <v/>
      </c>
      <c r="E674" t="str">
        <f>"58682.322"</f>
        <v>58682.322</v>
      </c>
      <c r="F674" t="str">
        <f>""</f>
        <v/>
      </c>
      <c r="G674" t="str">
        <f>"0.003"</f>
        <v>0.003</v>
      </c>
      <c r="H674" t="str">
        <f>""</f>
        <v/>
      </c>
      <c r="I674" t="str">
        <f t="shared" si="78"/>
        <v xml:space="preserve">                                                     </v>
      </c>
      <c r="J674" t="str">
        <f>""</f>
        <v/>
      </c>
    </row>
    <row r="675" spans="1:10">
      <c r="A675" s="1" t="str">
        <f>"3d6.4s.(4D).4d"</f>
        <v>3d6.4s.(4D).4d</v>
      </c>
      <c r="B675" t="str">
        <f>"3D"</f>
        <v>3D</v>
      </c>
      <c r="C675" t="str">
        <f>"1"</f>
        <v>1</v>
      </c>
      <c r="D675" t="str">
        <f>""</f>
        <v/>
      </c>
      <c r="E675" t="str">
        <f>"58965.752"</f>
        <v>58965.752</v>
      </c>
      <c r="F675" t="str">
        <f>""</f>
        <v/>
      </c>
      <c r="G675" t="str">
        <f>"0.004"</f>
        <v>0.004</v>
      </c>
      <c r="H675" t="str">
        <f>""</f>
        <v/>
      </c>
      <c r="I675" t="str">
        <f t="shared" si="78"/>
        <v xml:space="preserve">                                                     </v>
      </c>
      <c r="J675" t="str">
        <f>""</f>
        <v/>
      </c>
    </row>
    <row r="676" spans="1:10">
      <c r="A676" s="1" t="str">
        <f>"3d6.4s.(4D).4d"</f>
        <v>3d6.4s.(4D).4d</v>
      </c>
      <c r="B676" t="str">
        <f>"3D"</f>
        <v>3D</v>
      </c>
      <c r="C676" t="str">
        <f>"2"</f>
        <v>2</v>
      </c>
      <c r="D676" t="str">
        <f>""</f>
        <v/>
      </c>
      <c r="E676" t="str">
        <f>"58979.823"</f>
        <v>58979.823</v>
      </c>
      <c r="F676" t="str">
        <f>""</f>
        <v/>
      </c>
      <c r="G676" t="str">
        <f t="shared" ref="G676:G681" si="79">"0.002"</f>
        <v>0.002</v>
      </c>
      <c r="H676" t="str">
        <f>""</f>
        <v/>
      </c>
      <c r="I676" t="str">
        <f t="shared" si="78"/>
        <v xml:space="preserve">                                                     </v>
      </c>
      <c r="J676" t="str">
        <f>""</f>
        <v/>
      </c>
    </row>
    <row r="677" spans="1:10">
      <c r="A677" s="1" t="str">
        <f t="shared" ref="A677:A682" si="80">"3d7.(4F&lt;9/2&gt;).4f"</f>
        <v>3d7.(4F&lt;9/2&gt;).4f</v>
      </c>
      <c r="B677" t="str">
        <f>"2[11/2]*"</f>
        <v>2[11/2]*</v>
      </c>
      <c r="C677" t="str">
        <f>"6"</f>
        <v>6</v>
      </c>
      <c r="D677" t="str">
        <f>""</f>
        <v/>
      </c>
      <c r="E677" t="str">
        <f>"58700.540"</f>
        <v>58700.540</v>
      </c>
      <c r="F677" t="str">
        <f>""</f>
        <v/>
      </c>
      <c r="G677" t="str">
        <f t="shared" si="79"/>
        <v>0.002</v>
      </c>
      <c r="H677" t="str">
        <f>""</f>
        <v/>
      </c>
      <c r="I677" t="str">
        <f t="shared" si="78"/>
        <v xml:space="preserve">                                                     </v>
      </c>
      <c r="J677" t="str">
        <f>""</f>
        <v/>
      </c>
    </row>
    <row r="678" spans="1:10">
      <c r="A678" s="1" t="str">
        <f t="shared" si="80"/>
        <v>3d7.(4F&lt;9/2&gt;).4f</v>
      </c>
      <c r="B678" t="str">
        <f>"2[11/2]*"</f>
        <v>2[11/2]*</v>
      </c>
      <c r="C678" t="str">
        <f>"5"</f>
        <v>5</v>
      </c>
      <c r="D678" t="str">
        <f>""</f>
        <v/>
      </c>
      <c r="E678" t="str">
        <f>"58700.834"</f>
        <v>58700.834</v>
      </c>
      <c r="F678" t="str">
        <f>""</f>
        <v/>
      </c>
      <c r="G678" t="str">
        <f t="shared" si="79"/>
        <v>0.002</v>
      </c>
      <c r="H678" t="str">
        <f>""</f>
        <v/>
      </c>
      <c r="I678" t="str">
        <f t="shared" si="78"/>
        <v xml:space="preserve">                                                     </v>
      </c>
      <c r="J678" t="str">
        <f>""</f>
        <v/>
      </c>
    </row>
    <row r="679" spans="1:10">
      <c r="A679" s="1" t="str">
        <f t="shared" si="80"/>
        <v>3d7.(4F&lt;9/2&gt;).4f</v>
      </c>
      <c r="B679" t="str">
        <f>"2[13/2]*"</f>
        <v>2[13/2]*</v>
      </c>
      <c r="C679" t="str">
        <f>"6"</f>
        <v>6</v>
      </c>
      <c r="D679" t="str">
        <f>""</f>
        <v/>
      </c>
      <c r="E679" t="str">
        <f>"58702.681"</f>
        <v>58702.681</v>
      </c>
      <c r="F679" t="str">
        <f>""</f>
        <v/>
      </c>
      <c r="G679" t="str">
        <f t="shared" si="79"/>
        <v>0.002</v>
      </c>
      <c r="H679" t="str">
        <f>""</f>
        <v/>
      </c>
      <c r="I679" t="str">
        <f t="shared" si="78"/>
        <v xml:space="preserve">                                                     </v>
      </c>
      <c r="J679" t="str">
        <f>""</f>
        <v/>
      </c>
    </row>
    <row r="680" spans="1:10">
      <c r="A680" s="1" t="str">
        <f t="shared" si="80"/>
        <v>3d7.(4F&lt;9/2&gt;).4f</v>
      </c>
      <c r="B680" t="str">
        <f>"2[13/2]*"</f>
        <v>2[13/2]*</v>
      </c>
      <c r="C680" t="str">
        <f>"7"</f>
        <v>7</v>
      </c>
      <c r="D680" t="str">
        <f>""</f>
        <v/>
      </c>
      <c r="E680" t="str">
        <f>"58706.068"</f>
        <v>58706.068</v>
      </c>
      <c r="F680" t="str">
        <f>""</f>
        <v/>
      </c>
      <c r="G680" t="str">
        <f t="shared" si="79"/>
        <v>0.002</v>
      </c>
      <c r="H680" t="str">
        <f>""</f>
        <v/>
      </c>
      <c r="I680" t="str">
        <f t="shared" si="78"/>
        <v xml:space="preserve">                                                     </v>
      </c>
      <c r="J680" t="str">
        <f>""</f>
        <v/>
      </c>
    </row>
    <row r="681" spans="1:10">
      <c r="A681" s="1" t="str">
        <f t="shared" si="80"/>
        <v>3d7.(4F&lt;9/2&gt;).4f</v>
      </c>
      <c r="B681" t="str">
        <f>"2[9/2]*"</f>
        <v>2[9/2]*</v>
      </c>
      <c r="C681" t="str">
        <f>"4"</f>
        <v>4</v>
      </c>
      <c r="D681" t="str">
        <f>""</f>
        <v/>
      </c>
      <c r="E681" t="str">
        <f>"58704.913"</f>
        <v>58704.913</v>
      </c>
      <c r="F681" t="str">
        <f>""</f>
        <v/>
      </c>
      <c r="G681" t="str">
        <f t="shared" si="79"/>
        <v>0.002</v>
      </c>
      <c r="H681" t="str">
        <f>""</f>
        <v/>
      </c>
      <c r="I681" t="str">
        <f t="shared" si="78"/>
        <v xml:space="preserve">                                                     </v>
      </c>
      <c r="J681" t="str">
        <f>""</f>
        <v/>
      </c>
    </row>
    <row r="682" spans="1:10">
      <c r="A682" s="1" t="str">
        <f t="shared" si="80"/>
        <v>3d7.(4F&lt;9/2&gt;).4f</v>
      </c>
      <c r="B682" t="str">
        <f>"2[9/2]*"</f>
        <v>2[9/2]*</v>
      </c>
      <c r="C682" t="str">
        <f>"5"</f>
        <v>5</v>
      </c>
      <c r="D682" t="str">
        <f>""</f>
        <v/>
      </c>
      <c r="E682" t="str">
        <f>"58707.383"</f>
        <v>58707.383</v>
      </c>
      <c r="F682" t="str">
        <f>""</f>
        <v/>
      </c>
      <c r="G682" t="str">
        <f>"0.003"</f>
        <v>0.003</v>
      </c>
      <c r="H682" t="str">
        <f>""</f>
        <v/>
      </c>
      <c r="I682" t="str">
        <f t="shared" si="78"/>
        <v xml:space="preserve">                                                     </v>
      </c>
      <c r="J682" t="str">
        <f>""</f>
        <v/>
      </c>
    </row>
    <row r="683" spans="1:10">
      <c r="A683" s="1" t="str">
        <f>"3d7.(4F).5d"</f>
        <v>3d7.(4F).5d</v>
      </c>
      <c r="B683" t="str">
        <f>"5H"</f>
        <v>5H</v>
      </c>
      <c r="C683" t="str">
        <f>"7"</f>
        <v>7</v>
      </c>
      <c r="D683" t="str">
        <f>""</f>
        <v/>
      </c>
      <c r="E683" t="str">
        <f>"58710.811"</f>
        <v>58710.811</v>
      </c>
      <c r="F683" t="str">
        <f>""</f>
        <v/>
      </c>
      <c r="G683" t="str">
        <f>"0.05"</f>
        <v>0.05</v>
      </c>
      <c r="H683" t="str">
        <f>""</f>
        <v/>
      </c>
      <c r="I683" t="str">
        <f t="shared" si="78"/>
        <v xml:space="preserve">                                                     </v>
      </c>
      <c r="J683" t="str">
        <f>""</f>
        <v/>
      </c>
    </row>
    <row r="684" spans="1:10">
      <c r="A684" s="1" t="str">
        <f t="shared" ref="A684:A689" si="81">"3d7.(4F&lt;9/2&gt;).4f"</f>
        <v>3d7.(4F&lt;9/2&gt;).4f</v>
      </c>
      <c r="B684" t="str">
        <f>"2[7/2]*"</f>
        <v>2[7/2]*</v>
      </c>
      <c r="C684" t="str">
        <f>"4"</f>
        <v>4</v>
      </c>
      <c r="D684" t="str">
        <f>""</f>
        <v/>
      </c>
      <c r="E684" t="str">
        <f>"58711.247"</f>
        <v>58711.247</v>
      </c>
      <c r="F684" t="str">
        <f>""</f>
        <v/>
      </c>
      <c r="G684" t="str">
        <f>"0.003"</f>
        <v>0.003</v>
      </c>
      <c r="H684" t="str">
        <f>""</f>
        <v/>
      </c>
      <c r="I684" t="str">
        <f t="shared" si="78"/>
        <v xml:space="preserve">                                                     </v>
      </c>
      <c r="J684" t="str">
        <f>""</f>
        <v/>
      </c>
    </row>
    <row r="685" spans="1:10">
      <c r="A685" s="1" t="str">
        <f t="shared" si="81"/>
        <v>3d7.(4F&lt;9/2&gt;).4f</v>
      </c>
      <c r="B685" t="str">
        <f>"2[7/2]*"</f>
        <v>2[7/2]*</v>
      </c>
      <c r="C685" t="str">
        <f>"3"</f>
        <v>3</v>
      </c>
      <c r="D685" t="str">
        <f>""</f>
        <v/>
      </c>
      <c r="E685" t="str">
        <f>"58714.648"</f>
        <v>58714.648</v>
      </c>
      <c r="F685" t="str">
        <f>""</f>
        <v/>
      </c>
      <c r="G685" t="str">
        <f>"0.002"</f>
        <v>0.002</v>
      </c>
      <c r="H685" t="str">
        <f>""</f>
        <v/>
      </c>
      <c r="I685" t="str">
        <f t="shared" si="78"/>
        <v xml:space="preserve">                                                     </v>
      </c>
      <c r="J685" t="str">
        <f>""</f>
        <v/>
      </c>
    </row>
    <row r="686" spans="1:10">
      <c r="A686" s="1" t="str">
        <f t="shared" si="81"/>
        <v>3d7.(4F&lt;9/2&gt;).4f</v>
      </c>
      <c r="B686" t="str">
        <f>"2[15/2]*"</f>
        <v>2[15/2]*</v>
      </c>
      <c r="C686" t="str">
        <f>"8"</f>
        <v>8</v>
      </c>
      <c r="D686" t="str">
        <f>""</f>
        <v/>
      </c>
      <c r="E686" t="str">
        <f>"58718.498"</f>
        <v>58718.498</v>
      </c>
      <c r="F686" t="str">
        <f>""</f>
        <v/>
      </c>
      <c r="G686" t="str">
        <f>"0.003"</f>
        <v>0.003</v>
      </c>
      <c r="H686" t="str">
        <f>""</f>
        <v/>
      </c>
      <c r="I686" t="str">
        <f t="shared" si="78"/>
        <v xml:space="preserve">                                                     </v>
      </c>
      <c r="J686" t="str">
        <f>""</f>
        <v/>
      </c>
    </row>
    <row r="687" spans="1:10">
      <c r="A687" s="1" t="str">
        <f t="shared" si="81"/>
        <v>3d7.(4F&lt;9/2&gt;).4f</v>
      </c>
      <c r="B687" t="str">
        <f>"2[15/2]*"</f>
        <v>2[15/2]*</v>
      </c>
      <c r="C687" t="str">
        <f>"7"</f>
        <v>7</v>
      </c>
      <c r="D687" t="str">
        <f>""</f>
        <v/>
      </c>
      <c r="E687" t="str">
        <f>"58722.564"</f>
        <v>58722.564</v>
      </c>
      <c r="F687" t="str">
        <f>""</f>
        <v/>
      </c>
      <c r="G687" t="str">
        <f>"0.003"</f>
        <v>0.003</v>
      </c>
      <c r="H687" t="str">
        <f>""</f>
        <v/>
      </c>
      <c r="I687" t="str">
        <f t="shared" si="78"/>
        <v xml:space="preserve">                                                     </v>
      </c>
      <c r="J687" t="str">
        <f>""</f>
        <v/>
      </c>
    </row>
    <row r="688" spans="1:10">
      <c r="A688" s="1" t="str">
        <f t="shared" si="81"/>
        <v>3d7.(4F&lt;9/2&gt;).4f</v>
      </c>
      <c r="B688" t="str">
        <f>"2[5/2]*"</f>
        <v>2[5/2]*</v>
      </c>
      <c r="C688" t="str">
        <f>"3"</f>
        <v>3</v>
      </c>
      <c r="D688" t="str">
        <f>""</f>
        <v/>
      </c>
      <c r="E688" t="str">
        <f>"58719.040"</f>
        <v>58719.040</v>
      </c>
      <c r="F688" t="str">
        <f>""</f>
        <v/>
      </c>
      <c r="G688" t="str">
        <f>"0.002"</f>
        <v>0.002</v>
      </c>
      <c r="H688" t="str">
        <f>""</f>
        <v/>
      </c>
      <c r="I688" t="str">
        <f t="shared" si="78"/>
        <v xml:space="preserve">                                                     </v>
      </c>
      <c r="J688" t="str">
        <f>""</f>
        <v/>
      </c>
    </row>
    <row r="689" spans="1:10">
      <c r="A689" s="1" t="str">
        <f t="shared" si="81"/>
        <v>3d7.(4F&lt;9/2&gt;).4f</v>
      </c>
      <c r="B689" t="str">
        <f>"2[5/2]*"</f>
        <v>2[5/2]*</v>
      </c>
      <c r="C689" t="str">
        <f>"2"</f>
        <v>2</v>
      </c>
      <c r="D689" t="str">
        <f>""</f>
        <v/>
      </c>
      <c r="E689" t="str">
        <f>"58723.289"</f>
        <v>58723.289</v>
      </c>
      <c r="F689" t="str">
        <f>""</f>
        <v/>
      </c>
      <c r="G689" t="str">
        <f>"0.002"</f>
        <v>0.002</v>
      </c>
      <c r="H689" t="str">
        <f>""</f>
        <v/>
      </c>
      <c r="I689" t="str">
        <f t="shared" si="78"/>
        <v xml:space="preserve">                                                     </v>
      </c>
      <c r="J689" t="str">
        <f>""</f>
        <v/>
      </c>
    </row>
    <row r="690" spans="1:10">
      <c r="A690" s="1" t="str">
        <f>"3d6.(3H).4s.4p.(1P*)"</f>
        <v>3d6.(3H).4s.4p.(1P*)</v>
      </c>
      <c r="B690" t="str">
        <f>"3I*"</f>
        <v>3I*</v>
      </c>
      <c r="C690" t="str">
        <f>"7"</f>
        <v>7</v>
      </c>
      <c r="D690" t="str">
        <f>""</f>
        <v/>
      </c>
      <c r="E690" t="str">
        <f>"58792.255"</f>
        <v>58792.255</v>
      </c>
      <c r="F690" t="str">
        <f>""</f>
        <v/>
      </c>
      <c r="G690" t="str">
        <f>"0.002"</f>
        <v>0.002</v>
      </c>
      <c r="H690" t="str">
        <f>""</f>
        <v/>
      </c>
      <c r="I690" t="str">
        <f t="shared" si="78"/>
        <v xml:space="preserve">                                                     </v>
      </c>
      <c r="J690" t="str">
        <f>""</f>
        <v/>
      </c>
    </row>
    <row r="691" spans="1:10">
      <c r="A691" s="1" t="str">
        <f>"3d6.(3H).4s.4p.(1P*)"</f>
        <v>3d6.(3H).4s.4p.(1P*)</v>
      </c>
      <c r="B691" t="str">
        <f>"3I*"</f>
        <v>3I*</v>
      </c>
      <c r="C691" t="str">
        <f>"6"</f>
        <v>6</v>
      </c>
      <c r="D691" t="str">
        <f>""</f>
        <v/>
      </c>
      <c r="E691" t="str">
        <f>"58946.732"</f>
        <v>58946.732</v>
      </c>
      <c r="F691" t="str">
        <f>""</f>
        <v/>
      </c>
      <c r="G691" t="str">
        <f>"0.003"</f>
        <v>0.003</v>
      </c>
      <c r="H691" t="str">
        <f>""</f>
        <v/>
      </c>
      <c r="I691" t="str">
        <f t="shared" si="78"/>
        <v xml:space="preserve">                                                     </v>
      </c>
      <c r="J691" t="str">
        <f>""</f>
        <v/>
      </c>
    </row>
    <row r="692" spans="1:10">
      <c r="A692" s="1" t="str">
        <f>"3d6.(3H).4s.4p.(1P*)"</f>
        <v>3d6.(3H).4s.4p.(1P*)</v>
      </c>
      <c r="B692" t="str">
        <f>"3I*"</f>
        <v>3I*</v>
      </c>
      <c r="C692" t="str">
        <f>"5"</f>
        <v>5</v>
      </c>
      <c r="D692" t="str">
        <f>""</f>
        <v/>
      </c>
      <c r="E692" t="str">
        <f>"59085.827"</f>
        <v>59085.827</v>
      </c>
      <c r="F692" t="str">
        <f>""</f>
        <v/>
      </c>
      <c r="G692" t="str">
        <f>"0.003"</f>
        <v>0.003</v>
      </c>
      <c r="H692" t="str">
        <f>""</f>
        <v/>
      </c>
      <c r="I692" t="str">
        <f t="shared" si="78"/>
        <v xml:space="preserve">                                                     </v>
      </c>
      <c r="J692" t="str">
        <f>""</f>
        <v/>
      </c>
    </row>
    <row r="693" spans="1:10">
      <c r="A693" s="1" t="str">
        <f>"3d7.(4F).5d"</f>
        <v>3d7.(4F).5d</v>
      </c>
      <c r="B693" t="str">
        <f>"3G"</f>
        <v>3G</v>
      </c>
      <c r="C693" t="str">
        <f>"5"</f>
        <v>5</v>
      </c>
      <c r="D693" t="str">
        <f>""</f>
        <v/>
      </c>
      <c r="E693" t="str">
        <f>"58812.015"</f>
        <v>58812.015</v>
      </c>
      <c r="F693" t="str">
        <f>""</f>
        <v/>
      </c>
      <c r="G693" t="str">
        <f>"0.05"</f>
        <v>0.05</v>
      </c>
      <c r="H693" t="str">
        <f>""</f>
        <v/>
      </c>
      <c r="I693" t="str">
        <f t="shared" si="78"/>
        <v xml:space="preserve">                                                     </v>
      </c>
      <c r="J693" t="str">
        <f>""</f>
        <v/>
      </c>
    </row>
    <row r="694" spans="1:10">
      <c r="A694" s="1" t="str">
        <f>"3d7.(4F).5d"</f>
        <v>3d7.(4F).5d</v>
      </c>
      <c r="B694" t="str">
        <f>"3G"</f>
        <v>3G</v>
      </c>
      <c r="C694" t="str">
        <f>"4"</f>
        <v>4</v>
      </c>
      <c r="D694" t="str">
        <f>""</f>
        <v/>
      </c>
      <c r="E694" t="str">
        <f>"59204.233"</f>
        <v>59204.233</v>
      </c>
      <c r="F694" t="str">
        <f>""</f>
        <v/>
      </c>
      <c r="G694" t="str">
        <f>"0.05"</f>
        <v>0.05</v>
      </c>
      <c r="H694" t="str">
        <f>""</f>
        <v/>
      </c>
      <c r="I694" t="str">
        <f t="shared" si="78"/>
        <v xml:space="preserve">                                                     </v>
      </c>
      <c r="J694" t="str">
        <f>""</f>
        <v/>
      </c>
    </row>
    <row r="695" spans="1:10">
      <c r="A695" s="1" t="str">
        <f>""</f>
        <v/>
      </c>
      <c r="B695" t="str">
        <f>"58831e"</f>
        <v>58831e</v>
      </c>
      <c r="C695" t="str">
        <f>"3"</f>
        <v>3</v>
      </c>
      <c r="D695" t="str">
        <f>""</f>
        <v/>
      </c>
      <c r="E695" t="str">
        <f>"58831.230"</f>
        <v>58831.230</v>
      </c>
      <c r="F695" t="str">
        <f>""</f>
        <v/>
      </c>
      <c r="G695" t="str">
        <f>"0.003"</f>
        <v>0.003</v>
      </c>
      <c r="H695" t="str">
        <f>""</f>
        <v/>
      </c>
      <c r="I695" t="str">
        <f t="shared" si="78"/>
        <v xml:space="preserve">                                                     </v>
      </c>
      <c r="J695" t="str">
        <f>""</f>
        <v/>
      </c>
    </row>
    <row r="696" spans="1:10">
      <c r="A696" s="1" t="str">
        <f>""</f>
        <v/>
      </c>
      <c r="B696" t="str">
        <f>"58906e"</f>
        <v>58906e</v>
      </c>
      <c r="C696" t="str">
        <f>"4"</f>
        <v>4</v>
      </c>
      <c r="D696" t="str">
        <f>""</f>
        <v/>
      </c>
      <c r="E696" t="str">
        <f>"58906.436"</f>
        <v>58906.436</v>
      </c>
      <c r="F696" t="str">
        <f>""</f>
        <v/>
      </c>
      <c r="G696" t="str">
        <f>"0.002"</f>
        <v>0.002</v>
      </c>
      <c r="H696" t="str">
        <f>""</f>
        <v/>
      </c>
      <c r="I696" t="str">
        <f t="shared" si="78"/>
        <v xml:space="preserve">                                                     </v>
      </c>
      <c r="J696" t="str">
        <f>""</f>
        <v/>
      </c>
    </row>
    <row r="697" spans="1:10">
      <c r="A697" s="1" t="str">
        <f>"3d6.4s.(4D).4d"</f>
        <v>3d6.4s.(4D).4d</v>
      </c>
      <c r="B697" t="str">
        <f>"5S"</f>
        <v>5S</v>
      </c>
      <c r="C697" t="str">
        <f>"2"</f>
        <v>2</v>
      </c>
      <c r="D697" t="str">
        <f>""</f>
        <v/>
      </c>
      <c r="E697" t="str">
        <f>"58921.963"</f>
        <v>58921.963</v>
      </c>
      <c r="F697" t="str">
        <f>""</f>
        <v/>
      </c>
      <c r="G697" t="str">
        <f>"0.003"</f>
        <v>0.003</v>
      </c>
      <c r="H697" t="str">
        <f>""</f>
        <v/>
      </c>
      <c r="I697" t="str">
        <f t="shared" si="78"/>
        <v xml:space="preserve">                                                     </v>
      </c>
      <c r="J697" t="str">
        <f>""</f>
        <v/>
      </c>
    </row>
    <row r="698" spans="1:10">
      <c r="A698" s="1" t="str">
        <f>""</f>
        <v/>
      </c>
      <c r="B698" t="str">
        <f>"59077e"</f>
        <v>59077e</v>
      </c>
      <c r="C698" t="str">
        <f>"1"</f>
        <v>1</v>
      </c>
      <c r="D698" t="str">
        <f>""</f>
        <v/>
      </c>
      <c r="E698" t="str">
        <f>"59077.084"</f>
        <v>59077.084</v>
      </c>
      <c r="F698" t="str">
        <f>""</f>
        <v/>
      </c>
      <c r="G698" t="str">
        <f>"0.003"</f>
        <v>0.003</v>
      </c>
      <c r="H698" t="str">
        <f>""</f>
        <v/>
      </c>
      <c r="I698" t="str">
        <f t="shared" si="78"/>
        <v xml:space="preserve">                                                     </v>
      </c>
      <c r="J698" t="str">
        <f>""</f>
        <v/>
      </c>
    </row>
    <row r="699" spans="1:10">
      <c r="A699" s="1" t="str">
        <f t="shared" ref="A699:A704" si="82">"3d6.4s.(6D&lt;9/2&gt;).6d"</f>
        <v>3d6.4s.(6D&lt;9/2&gt;).6d</v>
      </c>
      <c r="B699" t="str">
        <f>"2[11/2]"</f>
        <v>2[11/2]</v>
      </c>
      <c r="C699" t="str">
        <f>"6"</f>
        <v>6</v>
      </c>
      <c r="D699" t="str">
        <f>""</f>
        <v/>
      </c>
      <c r="E699" t="str">
        <f>"59124.074"</f>
        <v>59124.074</v>
      </c>
      <c r="F699" t="str">
        <f>""</f>
        <v/>
      </c>
      <c r="G699" t="str">
        <f>"0.014"</f>
        <v>0.014</v>
      </c>
      <c r="H699" t="str">
        <f>""</f>
        <v/>
      </c>
      <c r="I699" t="str">
        <f t="shared" si="78"/>
        <v xml:space="preserve">                                                     </v>
      </c>
      <c r="J699" t="str">
        <f>""</f>
        <v/>
      </c>
    </row>
    <row r="700" spans="1:10">
      <c r="A700" s="1" t="str">
        <f t="shared" si="82"/>
        <v>3d6.4s.(6D&lt;9/2&gt;).6d</v>
      </c>
      <c r="B700" t="str">
        <f>"2[11/2]"</f>
        <v>2[11/2]</v>
      </c>
      <c r="C700" t="str">
        <f>"5"</f>
        <v>5</v>
      </c>
      <c r="D700" t="str">
        <f>""</f>
        <v/>
      </c>
      <c r="E700" t="str">
        <f>"59182.72"</f>
        <v>59182.72</v>
      </c>
      <c r="F700" t="str">
        <f>""</f>
        <v/>
      </c>
      <c r="G700" t="str">
        <f>"0.02"</f>
        <v>0.02</v>
      </c>
      <c r="H700" t="str">
        <f>""</f>
        <v/>
      </c>
      <c r="I700" t="str">
        <f t="shared" si="78"/>
        <v xml:space="preserve">                                                     </v>
      </c>
      <c r="J700" t="str">
        <f>""</f>
        <v/>
      </c>
    </row>
    <row r="701" spans="1:10">
      <c r="A701" s="1" t="str">
        <f t="shared" si="82"/>
        <v>3d6.4s.(6D&lt;9/2&gt;).6d</v>
      </c>
      <c r="B701" t="str">
        <f>"2[9/2]"</f>
        <v>2[9/2]</v>
      </c>
      <c r="C701" t="str">
        <f>"5"</f>
        <v>5</v>
      </c>
      <c r="D701" t="str">
        <f>""</f>
        <v/>
      </c>
      <c r="E701" t="str">
        <f>"59126.75"</f>
        <v>59126.75</v>
      </c>
      <c r="F701" t="str">
        <f>""</f>
        <v/>
      </c>
      <c r="G701" t="str">
        <f>"0.02"</f>
        <v>0.02</v>
      </c>
      <c r="H701" t="str">
        <f>""</f>
        <v/>
      </c>
      <c r="I701" t="str">
        <f t="shared" si="78"/>
        <v xml:space="preserve">                                                     </v>
      </c>
      <c r="J701" t="str">
        <f>""</f>
        <v/>
      </c>
    </row>
    <row r="702" spans="1:10">
      <c r="A702" s="1" t="str">
        <f t="shared" si="82"/>
        <v>3d6.4s.(6D&lt;9/2&gt;).6d</v>
      </c>
      <c r="B702" t="str">
        <f>"2[9/2]"</f>
        <v>2[9/2]</v>
      </c>
      <c r="C702" t="str">
        <f>"4"</f>
        <v>4</v>
      </c>
      <c r="D702" t="str">
        <f>""</f>
        <v/>
      </c>
      <c r="E702" t="str">
        <f>"59133.61"</f>
        <v>59133.61</v>
      </c>
      <c r="F702" t="str">
        <f>""</f>
        <v/>
      </c>
      <c r="G702" t="str">
        <f>"0.03"</f>
        <v>0.03</v>
      </c>
      <c r="H702" t="str">
        <f>""</f>
        <v/>
      </c>
      <c r="I702" t="str">
        <f t="shared" si="78"/>
        <v xml:space="preserve">                                                     </v>
      </c>
      <c r="J702" t="str">
        <f>""</f>
        <v/>
      </c>
    </row>
    <row r="703" spans="1:10">
      <c r="A703" s="1" t="str">
        <f t="shared" si="82"/>
        <v>3d6.4s.(6D&lt;9/2&gt;).6d</v>
      </c>
      <c r="B703" t="str">
        <f>"2[13/2]"</f>
        <v>2[13/2]</v>
      </c>
      <c r="C703" t="str">
        <f>"6"</f>
        <v>6</v>
      </c>
      <c r="D703" t="str">
        <f>""</f>
        <v/>
      </c>
      <c r="E703" t="str">
        <f>"59146.37"</f>
        <v>59146.37</v>
      </c>
      <c r="F703" t="str">
        <f>""</f>
        <v/>
      </c>
      <c r="G703" t="str">
        <f>"0.02"</f>
        <v>0.02</v>
      </c>
      <c r="H703" t="str">
        <f>""</f>
        <v/>
      </c>
      <c r="I703" t="str">
        <f t="shared" si="78"/>
        <v xml:space="preserve">                                                     </v>
      </c>
      <c r="J703" t="str">
        <f>""</f>
        <v/>
      </c>
    </row>
    <row r="704" spans="1:10">
      <c r="A704" s="1" t="str">
        <f t="shared" si="82"/>
        <v>3d6.4s.(6D&lt;9/2&gt;).6d</v>
      </c>
      <c r="B704" t="str">
        <f>"2[13/2]"</f>
        <v>2[13/2]</v>
      </c>
      <c r="C704" t="str">
        <f>"7"</f>
        <v>7</v>
      </c>
      <c r="D704" t="str">
        <f>""</f>
        <v/>
      </c>
      <c r="E704" t="str">
        <f>"59179.134"</f>
        <v>59179.134</v>
      </c>
      <c r="F704" t="str">
        <f>""</f>
        <v/>
      </c>
      <c r="G704" t="str">
        <f>"0.01"</f>
        <v>0.01</v>
      </c>
      <c r="H704" t="str">
        <f>""</f>
        <v/>
      </c>
      <c r="I704" t="str">
        <f t="shared" si="78"/>
        <v xml:space="preserve">                                                     </v>
      </c>
      <c r="J704" t="str">
        <f>""</f>
        <v/>
      </c>
    </row>
    <row r="705" spans="1:10">
      <c r="A705" s="1" t="str">
        <f>"3d6.4s.(4D).4d"</f>
        <v>3d6.4s.(4D).4d</v>
      </c>
      <c r="B705" t="str">
        <f>"3S"</f>
        <v>3S</v>
      </c>
      <c r="C705" t="str">
        <f>"1"</f>
        <v>1</v>
      </c>
      <c r="D705" t="str">
        <f>""</f>
        <v/>
      </c>
      <c r="E705" t="str">
        <f>"59154.662"</f>
        <v>59154.662</v>
      </c>
      <c r="F705" t="str">
        <f>""</f>
        <v/>
      </c>
      <c r="G705" t="str">
        <f>"0.007"</f>
        <v>0.007</v>
      </c>
      <c r="H705" t="str">
        <f>""</f>
        <v/>
      </c>
      <c r="I705" t="str">
        <f t="shared" ref="I705:I736" si="83">"                                                     "</f>
        <v xml:space="preserve">                                                     </v>
      </c>
      <c r="J705" t="str">
        <f>""</f>
        <v/>
      </c>
    </row>
    <row r="706" spans="1:10">
      <c r="A706" s="1" t="str">
        <f>"3d6.4s.(6D&lt;9/2&gt;).6d"</f>
        <v>3d6.4s.(6D&lt;9/2&gt;).6d</v>
      </c>
      <c r="B706" t="str">
        <f>"2[5/2]"</f>
        <v>2[5/2]</v>
      </c>
      <c r="C706" t="str">
        <f>"3"</f>
        <v>3</v>
      </c>
      <c r="D706" t="str">
        <f>""</f>
        <v/>
      </c>
      <c r="E706" t="str">
        <f>"59217.204"</f>
        <v>59217.204</v>
      </c>
      <c r="F706" t="str">
        <f>""</f>
        <v/>
      </c>
      <c r="G706" t="str">
        <f>"0.011"</f>
        <v>0.011</v>
      </c>
      <c r="H706" t="str">
        <f>""</f>
        <v/>
      </c>
      <c r="I706" t="str">
        <f t="shared" si="83"/>
        <v xml:space="preserve">                                                     </v>
      </c>
      <c r="J706" t="str">
        <f>""</f>
        <v/>
      </c>
    </row>
    <row r="707" spans="1:10">
      <c r="A707" s="1" t="str">
        <f>"3d6.4s.(6D&lt;9/2&gt;).6d"</f>
        <v>3d6.4s.(6D&lt;9/2&gt;).6d</v>
      </c>
      <c r="B707" t="str">
        <f>"2[7/2]"</f>
        <v>2[7/2]</v>
      </c>
      <c r="C707" t="str">
        <f>"4"</f>
        <v>4</v>
      </c>
      <c r="D707" t="str">
        <f>""</f>
        <v/>
      </c>
      <c r="E707" t="str">
        <f>"59235.48"</f>
        <v>59235.48</v>
      </c>
      <c r="F707" t="str">
        <f>""</f>
        <v/>
      </c>
      <c r="G707" t="str">
        <f>"0.05"</f>
        <v>0.05</v>
      </c>
      <c r="H707" t="str">
        <f>""</f>
        <v/>
      </c>
      <c r="I707" t="str">
        <f t="shared" si="83"/>
        <v xml:space="preserve">                                                     </v>
      </c>
      <c r="J707" t="str">
        <f>""</f>
        <v/>
      </c>
    </row>
    <row r="708" spans="1:10">
      <c r="A708" s="1" t="str">
        <f>"3d6.4s.(6D&lt;9/2&gt;).6d"</f>
        <v>3d6.4s.(6D&lt;9/2&gt;).6d</v>
      </c>
      <c r="B708" t="str">
        <f>"2[7/2]"</f>
        <v>2[7/2]</v>
      </c>
      <c r="C708" t="str">
        <f>"3"</f>
        <v>3</v>
      </c>
      <c r="D708" t="str">
        <f>""</f>
        <v/>
      </c>
      <c r="E708" t="str">
        <f>"59251.39"</f>
        <v>59251.39</v>
      </c>
      <c r="F708" t="str">
        <f>""</f>
        <v/>
      </c>
      <c r="G708" t="str">
        <f>"0.02"</f>
        <v>0.02</v>
      </c>
      <c r="H708" t="str">
        <f>""</f>
        <v/>
      </c>
      <c r="I708" t="str">
        <f t="shared" si="83"/>
        <v xml:space="preserve">                                                     </v>
      </c>
      <c r="J708" t="str">
        <f>""</f>
        <v/>
      </c>
    </row>
    <row r="709" spans="1:10">
      <c r="A709" s="1" t="str">
        <f t="shared" ref="A709:A718" si="84">"3d7.(4F&lt;7/2&gt;).4f"</f>
        <v>3d7.(4F&lt;7/2&gt;).4f</v>
      </c>
      <c r="B709" t="str">
        <f>"2[9/2]*"</f>
        <v>2[9/2]*</v>
      </c>
      <c r="C709" t="str">
        <f>"4"</f>
        <v>4</v>
      </c>
      <c r="D709" t="str">
        <f>""</f>
        <v/>
      </c>
      <c r="E709" t="str">
        <f>"59262.299"</f>
        <v>59262.299</v>
      </c>
      <c r="F709" t="str">
        <f>""</f>
        <v/>
      </c>
      <c r="G709" t="str">
        <f>"0.002"</f>
        <v>0.002</v>
      </c>
      <c r="H709" t="str">
        <f>""</f>
        <v/>
      </c>
      <c r="I709" t="str">
        <f t="shared" si="83"/>
        <v xml:space="preserve">                                                     </v>
      </c>
      <c r="J709" t="str">
        <f>""</f>
        <v/>
      </c>
    </row>
    <row r="710" spans="1:10">
      <c r="A710" s="1" t="str">
        <f t="shared" si="84"/>
        <v>3d7.(4F&lt;7/2&gt;).4f</v>
      </c>
      <c r="B710" t="str">
        <f>"2[9/2]*"</f>
        <v>2[9/2]*</v>
      </c>
      <c r="C710" t="str">
        <f>"5"</f>
        <v>5</v>
      </c>
      <c r="D710" t="str">
        <f>""</f>
        <v/>
      </c>
      <c r="E710" t="str">
        <f>"59264.884"</f>
        <v>59264.884</v>
      </c>
      <c r="F710" t="str">
        <f>""</f>
        <v/>
      </c>
      <c r="G710" t="str">
        <f>"0.002"</f>
        <v>0.002</v>
      </c>
      <c r="H710" t="str">
        <f>""</f>
        <v/>
      </c>
      <c r="I710" t="str">
        <f t="shared" si="83"/>
        <v xml:space="preserve">                                                     </v>
      </c>
      <c r="J710" t="str">
        <f>""</f>
        <v/>
      </c>
    </row>
    <row r="711" spans="1:10">
      <c r="A711" s="1" t="str">
        <f t="shared" si="84"/>
        <v>3d7.(4F&lt;7/2&gt;).4f</v>
      </c>
      <c r="B711" t="str">
        <f>"2[11/2]*"</f>
        <v>2[11/2]*</v>
      </c>
      <c r="C711" t="str">
        <f>"6"</f>
        <v>6</v>
      </c>
      <c r="D711" t="str">
        <f>""</f>
        <v/>
      </c>
      <c r="E711" t="str">
        <f>"59263.923"</f>
        <v>59263.923</v>
      </c>
      <c r="F711" t="str">
        <f>""</f>
        <v/>
      </c>
      <c r="G711" t="str">
        <f>"0.003"</f>
        <v>0.003</v>
      </c>
      <c r="H711" t="str">
        <f>""</f>
        <v/>
      </c>
      <c r="I711" t="str">
        <f t="shared" si="83"/>
        <v xml:space="preserve">                                                     </v>
      </c>
      <c r="J711" t="str">
        <f>""</f>
        <v/>
      </c>
    </row>
    <row r="712" spans="1:10">
      <c r="A712" s="1" t="str">
        <f t="shared" si="84"/>
        <v>3d7.(4F&lt;7/2&gt;).4f</v>
      </c>
      <c r="B712" t="str">
        <f>"2[11/2]*"</f>
        <v>2[11/2]*</v>
      </c>
      <c r="C712" t="str">
        <f>"5"</f>
        <v>5</v>
      </c>
      <c r="D712" t="str">
        <f>""</f>
        <v/>
      </c>
      <c r="E712" t="str">
        <f>"59265.025"</f>
        <v>59265.025</v>
      </c>
      <c r="F712" t="str">
        <f>""</f>
        <v/>
      </c>
      <c r="G712" t="str">
        <f>"0.002"</f>
        <v>0.002</v>
      </c>
      <c r="H712" t="str">
        <f>""</f>
        <v/>
      </c>
      <c r="I712" t="str">
        <f t="shared" si="83"/>
        <v xml:space="preserve">                                                     </v>
      </c>
      <c r="J712" t="str">
        <f>""</f>
        <v/>
      </c>
    </row>
    <row r="713" spans="1:10">
      <c r="A713" s="1" t="str">
        <f t="shared" si="84"/>
        <v>3d7.(4F&lt;7/2&gt;).4f</v>
      </c>
      <c r="B713" t="str">
        <f>"2[7/2]*"</f>
        <v>2[7/2]*</v>
      </c>
      <c r="C713" t="str">
        <f>"3"</f>
        <v>3</v>
      </c>
      <c r="D713" t="str">
        <f>""</f>
        <v/>
      </c>
      <c r="E713" t="str">
        <f>"59265.477"</f>
        <v>59265.477</v>
      </c>
      <c r="F713" t="str">
        <f>""</f>
        <v/>
      </c>
      <c r="G713" t="str">
        <f>"0.002"</f>
        <v>0.002</v>
      </c>
      <c r="H713" t="str">
        <f>""</f>
        <v/>
      </c>
      <c r="I713" t="str">
        <f t="shared" si="83"/>
        <v xml:space="preserve">                                                     </v>
      </c>
      <c r="J713" t="str">
        <f>""</f>
        <v/>
      </c>
    </row>
    <row r="714" spans="1:10">
      <c r="A714" s="1" t="str">
        <f t="shared" si="84"/>
        <v>3d7.(4F&lt;7/2&gt;).4f</v>
      </c>
      <c r="B714" t="str">
        <f>"2[7/2]*"</f>
        <v>2[7/2]*</v>
      </c>
      <c r="C714" t="str">
        <f>"4"</f>
        <v>4</v>
      </c>
      <c r="D714" t="str">
        <f>""</f>
        <v/>
      </c>
      <c r="E714" t="str">
        <f>"59265.744"</f>
        <v>59265.744</v>
      </c>
      <c r="F714" t="str">
        <f>""</f>
        <v/>
      </c>
      <c r="G714" t="str">
        <f>"0.002"</f>
        <v>0.002</v>
      </c>
      <c r="H714" t="str">
        <f>""</f>
        <v/>
      </c>
      <c r="I714" t="str">
        <f t="shared" si="83"/>
        <v xml:space="preserve">                                                     </v>
      </c>
      <c r="J714" t="str">
        <f>""</f>
        <v/>
      </c>
    </row>
    <row r="715" spans="1:10">
      <c r="A715" s="1" t="str">
        <f t="shared" si="84"/>
        <v>3d7.(4F&lt;7/2&gt;).4f</v>
      </c>
      <c r="B715" t="str">
        <f>"2[5/2]*"</f>
        <v>2[5/2]*</v>
      </c>
      <c r="C715" t="str">
        <f>"2"</f>
        <v>2</v>
      </c>
      <c r="D715" t="str">
        <f>""</f>
        <v/>
      </c>
      <c r="E715" t="str">
        <f>"59270.158"</f>
        <v>59270.158</v>
      </c>
      <c r="F715" t="str">
        <f>""</f>
        <v/>
      </c>
      <c r="G715" t="str">
        <f>"0.002"</f>
        <v>0.002</v>
      </c>
      <c r="H715" t="str">
        <f>""</f>
        <v/>
      </c>
      <c r="I715" t="str">
        <f t="shared" si="83"/>
        <v xml:space="preserve">                                                     </v>
      </c>
      <c r="J715" t="str">
        <f>""</f>
        <v/>
      </c>
    </row>
    <row r="716" spans="1:10">
      <c r="A716" s="1" t="str">
        <f t="shared" si="84"/>
        <v>3d7.(4F&lt;7/2&gt;).4f</v>
      </c>
      <c r="B716" t="str">
        <f>"2[5/2]*"</f>
        <v>2[5/2]*</v>
      </c>
      <c r="C716" t="str">
        <f>"3"</f>
        <v>3</v>
      </c>
      <c r="D716" t="str">
        <f>""</f>
        <v/>
      </c>
      <c r="E716" t="str">
        <f>"59271.318"</f>
        <v>59271.318</v>
      </c>
      <c r="F716" t="str">
        <f>""</f>
        <v/>
      </c>
      <c r="G716" t="str">
        <f>"0.003"</f>
        <v>0.003</v>
      </c>
      <c r="H716" t="str">
        <f>""</f>
        <v/>
      </c>
      <c r="I716" t="str">
        <f t="shared" si="83"/>
        <v xml:space="preserve">                                                     </v>
      </c>
      <c r="J716" t="str">
        <f>""</f>
        <v/>
      </c>
    </row>
    <row r="717" spans="1:10">
      <c r="A717" s="1" t="str">
        <f t="shared" si="84"/>
        <v>3d7.(4F&lt;7/2&gt;).4f</v>
      </c>
      <c r="B717" t="str">
        <f>"2[13/2]*"</f>
        <v>2[13/2]*</v>
      </c>
      <c r="C717" t="str">
        <f>"7"</f>
        <v>7</v>
      </c>
      <c r="D717" t="str">
        <f>""</f>
        <v/>
      </c>
      <c r="E717" t="str">
        <f>"59271.890"</f>
        <v>59271.890</v>
      </c>
      <c r="F717" t="str">
        <f>""</f>
        <v/>
      </c>
      <c r="G717" t="str">
        <f>"0.004"</f>
        <v>0.004</v>
      </c>
      <c r="H717" t="str">
        <f>""</f>
        <v/>
      </c>
      <c r="I717" t="str">
        <f t="shared" si="83"/>
        <v xml:space="preserve">                                                     </v>
      </c>
      <c r="J717" t="str">
        <f>""</f>
        <v/>
      </c>
    </row>
    <row r="718" spans="1:10">
      <c r="A718" s="1" t="str">
        <f t="shared" si="84"/>
        <v>3d7.(4F&lt;7/2&gt;).4f</v>
      </c>
      <c r="B718" t="str">
        <f>"2[13/2]*"</f>
        <v>2[13/2]*</v>
      </c>
      <c r="C718" t="str">
        <f>"6"</f>
        <v>6</v>
      </c>
      <c r="D718" t="str">
        <f>""</f>
        <v/>
      </c>
      <c r="E718" t="str">
        <f>"59273.135"</f>
        <v>59273.135</v>
      </c>
      <c r="F718" t="str">
        <f>""</f>
        <v/>
      </c>
      <c r="G718" t="str">
        <f>"0.004"</f>
        <v>0.004</v>
      </c>
      <c r="H718" t="str">
        <f>""</f>
        <v/>
      </c>
      <c r="I718" t="str">
        <f t="shared" si="83"/>
        <v xml:space="preserve">                                                     </v>
      </c>
      <c r="J718" t="str">
        <f>""</f>
        <v/>
      </c>
    </row>
    <row r="719" spans="1:10">
      <c r="A719" s="1" t="str">
        <f>"3d6.4s.(6D&lt;9/2&gt;).5f"</f>
        <v>3d6.4s.(6D&lt;9/2&gt;).5f</v>
      </c>
      <c r="B719" t="str">
        <f>"2[11/2]*"</f>
        <v>2[11/2]*</v>
      </c>
      <c r="C719" t="str">
        <f>"6"</f>
        <v>6</v>
      </c>
      <c r="D719" t="str">
        <f>""</f>
        <v/>
      </c>
      <c r="E719" t="str">
        <f>"59274.562"</f>
        <v>59274.562</v>
      </c>
      <c r="F719" t="str">
        <f>""</f>
        <v/>
      </c>
      <c r="G719" t="str">
        <f>"0.003"</f>
        <v>0.003</v>
      </c>
      <c r="H719" t="str">
        <f>""</f>
        <v/>
      </c>
      <c r="I719" t="str">
        <f t="shared" si="83"/>
        <v xml:space="preserve">                                                     </v>
      </c>
      <c r="J719" t="str">
        <f>""</f>
        <v/>
      </c>
    </row>
    <row r="720" spans="1:10">
      <c r="A720" s="1" t="str">
        <f>"3d6.4s.(6D&lt;9/2&gt;).5f"</f>
        <v>3d6.4s.(6D&lt;9/2&gt;).5f</v>
      </c>
      <c r="B720" t="str">
        <f>"2[13/2]*"</f>
        <v>2[13/2]*</v>
      </c>
      <c r="C720" t="str">
        <f>"6"</f>
        <v>6</v>
      </c>
      <c r="D720" t="str">
        <f>""</f>
        <v/>
      </c>
      <c r="E720" t="str">
        <f>"59275.884"</f>
        <v>59275.884</v>
      </c>
      <c r="F720" t="str">
        <f>""</f>
        <v/>
      </c>
      <c r="G720" t="str">
        <f>"0.003"</f>
        <v>0.003</v>
      </c>
      <c r="H720" t="str">
        <f>""</f>
        <v/>
      </c>
      <c r="I720" t="str">
        <f t="shared" si="83"/>
        <v xml:space="preserve">                                                     </v>
      </c>
      <c r="J720" t="str">
        <f>""</f>
        <v/>
      </c>
    </row>
    <row r="721" spans="1:10">
      <c r="A721" s="1" t="str">
        <f>"3d6.4s.(6D&lt;9/2&gt;).5f"</f>
        <v>3d6.4s.(6D&lt;9/2&gt;).5f</v>
      </c>
      <c r="B721" t="str">
        <f>"2[13/2]*"</f>
        <v>2[13/2]*</v>
      </c>
      <c r="C721" t="str">
        <f>"7"</f>
        <v>7</v>
      </c>
      <c r="D721" t="str">
        <f>""</f>
        <v/>
      </c>
      <c r="E721" t="str">
        <f>"59277.458"</f>
        <v>59277.458</v>
      </c>
      <c r="F721" t="str">
        <f>""</f>
        <v/>
      </c>
      <c r="G721" t="str">
        <f>"0.003"</f>
        <v>0.003</v>
      </c>
      <c r="H721" t="str">
        <f>""</f>
        <v/>
      </c>
      <c r="I721" t="str">
        <f t="shared" si="83"/>
        <v xml:space="preserve">                                                     </v>
      </c>
      <c r="J721" t="str">
        <f>""</f>
        <v/>
      </c>
    </row>
    <row r="722" spans="1:10">
      <c r="A722" s="1" t="str">
        <f>"3d7.(4F&lt;7/2&gt;).4f"</f>
        <v>3d7.(4F&lt;7/2&gt;).4f</v>
      </c>
      <c r="B722" t="str">
        <f>"2[3/2]*"</f>
        <v>2[3/2]*</v>
      </c>
      <c r="C722" t="str">
        <f>"2"</f>
        <v>2</v>
      </c>
      <c r="D722" t="str">
        <f>""</f>
        <v/>
      </c>
      <c r="E722" t="str">
        <f>"59276.239"</f>
        <v>59276.239</v>
      </c>
      <c r="F722" t="str">
        <f>""</f>
        <v/>
      </c>
      <c r="G722" t="str">
        <f>"0.003"</f>
        <v>0.003</v>
      </c>
      <c r="H722" t="str">
        <f>""</f>
        <v/>
      </c>
      <c r="I722" t="str">
        <f t="shared" si="83"/>
        <v xml:space="preserve">                                                     </v>
      </c>
      <c r="J722" t="str">
        <f>""</f>
        <v/>
      </c>
    </row>
    <row r="723" spans="1:10">
      <c r="A723" s="1" t="str">
        <f>"3d6.4s.(6D&lt;9/2&gt;).5f"</f>
        <v>3d6.4s.(6D&lt;9/2&gt;).5f</v>
      </c>
      <c r="B723" t="str">
        <f>"2[15/2]*"</f>
        <v>2[15/2]*</v>
      </c>
      <c r="C723" t="str">
        <f>"7"</f>
        <v>7</v>
      </c>
      <c r="D723" t="str">
        <f>""</f>
        <v/>
      </c>
      <c r="E723" t="str">
        <f>"59290.37"</f>
        <v>59290.37</v>
      </c>
      <c r="F723" t="str">
        <f>""</f>
        <v/>
      </c>
      <c r="G723" t="str">
        <f>"0.02"</f>
        <v>0.02</v>
      </c>
      <c r="H723" t="str">
        <f>""</f>
        <v/>
      </c>
      <c r="I723" t="str">
        <f t="shared" si="83"/>
        <v xml:space="preserve">                                                     </v>
      </c>
      <c r="J723" t="str">
        <f>""</f>
        <v/>
      </c>
    </row>
    <row r="724" spans="1:10">
      <c r="A724" s="1" t="str">
        <f>"3d6.4s.(6D&lt;9/2&gt;).5f"</f>
        <v>3d6.4s.(6D&lt;9/2&gt;).5f</v>
      </c>
      <c r="B724" t="str">
        <f>"2[15/2]*"</f>
        <v>2[15/2]*</v>
      </c>
      <c r="C724" t="str">
        <f>"8"</f>
        <v>8</v>
      </c>
      <c r="D724" t="str">
        <f>""</f>
        <v/>
      </c>
      <c r="E724" t="str">
        <f>"59290.425"</f>
        <v>59290.425</v>
      </c>
      <c r="F724" t="str">
        <f>""</f>
        <v/>
      </c>
      <c r="G724" t="str">
        <f>"0.003"</f>
        <v>0.003</v>
      </c>
      <c r="H724" t="str">
        <f>""</f>
        <v/>
      </c>
      <c r="I724" t="str">
        <f t="shared" si="83"/>
        <v xml:space="preserve">                                                     </v>
      </c>
      <c r="J724" t="str">
        <f>""</f>
        <v/>
      </c>
    </row>
    <row r="725" spans="1:10">
      <c r="A725" s="1" t="str">
        <f>"3d6.4s.(4D).4d"</f>
        <v>3d6.4s.(4D).4d</v>
      </c>
      <c r="B725" t="str">
        <f>"3F"</f>
        <v>3F</v>
      </c>
      <c r="C725" t="str">
        <f>"4"</f>
        <v>4</v>
      </c>
      <c r="D725" t="str">
        <f>""</f>
        <v/>
      </c>
      <c r="E725" t="str">
        <f>"59301.904"</f>
        <v>59301.904</v>
      </c>
      <c r="F725" t="str">
        <f>""</f>
        <v/>
      </c>
      <c r="G725" t="str">
        <f>"0.009"</f>
        <v>0.009</v>
      </c>
      <c r="H725" t="str">
        <f>""</f>
        <v/>
      </c>
      <c r="I725" t="str">
        <f t="shared" si="83"/>
        <v xml:space="preserve">                                                     </v>
      </c>
      <c r="J725" t="str">
        <f>""</f>
        <v/>
      </c>
    </row>
    <row r="726" spans="1:10">
      <c r="A726" s="1" t="str">
        <f>"3d6.4s.(4D).4d"</f>
        <v>3d6.4s.(4D).4d</v>
      </c>
      <c r="B726" t="str">
        <f>"3F"</f>
        <v>3F</v>
      </c>
      <c r="C726" t="str">
        <f>"3"</f>
        <v>3</v>
      </c>
      <c r="D726" t="str">
        <f>""</f>
        <v/>
      </c>
      <c r="E726" t="str">
        <f>"59522.714"</f>
        <v>59522.714</v>
      </c>
      <c r="F726" t="str">
        <f>""</f>
        <v/>
      </c>
      <c r="G726" t="str">
        <f>"0.003"</f>
        <v>0.003</v>
      </c>
      <c r="H726" t="str">
        <f>""</f>
        <v/>
      </c>
      <c r="I726" t="str">
        <f t="shared" si="83"/>
        <v xml:space="preserve">                                                     </v>
      </c>
      <c r="J726" t="str">
        <f>""</f>
        <v/>
      </c>
    </row>
    <row r="727" spans="1:10">
      <c r="A727" s="1" t="str">
        <f>"3d6.4s.(4D).4d"</f>
        <v>3d6.4s.(4D).4d</v>
      </c>
      <c r="B727" t="str">
        <f>"3F"</f>
        <v>3F</v>
      </c>
      <c r="C727" t="str">
        <f>"2"</f>
        <v>2</v>
      </c>
      <c r="D727" t="str">
        <f>""</f>
        <v/>
      </c>
      <c r="E727" t="str">
        <f>"59815.558"</f>
        <v>59815.558</v>
      </c>
      <c r="F727" t="str">
        <f>""</f>
        <v/>
      </c>
      <c r="G727" t="str">
        <f>"0.003"</f>
        <v>0.003</v>
      </c>
      <c r="H727" t="str">
        <f>""</f>
        <v/>
      </c>
      <c r="I727" t="str">
        <f t="shared" si="83"/>
        <v xml:space="preserve">                                                     </v>
      </c>
      <c r="J727" t="str">
        <f>""</f>
        <v/>
      </c>
    </row>
    <row r="728" spans="1:10">
      <c r="A728" s="1" t="str">
        <f t="shared" ref="A728:A745" si="85">"3d6.4s.(6D&lt;9/2&gt;).5g"</f>
        <v>3d6.4s.(6D&lt;9/2&gt;).5g</v>
      </c>
      <c r="B728" t="str">
        <f>"2[13/2]"</f>
        <v>2[13/2]</v>
      </c>
      <c r="C728" t="str">
        <f>"6"</f>
        <v>6</v>
      </c>
      <c r="D728" t="str">
        <f>""</f>
        <v/>
      </c>
      <c r="E728" t="str">
        <f>"59329.646"</f>
        <v>59329.646</v>
      </c>
      <c r="F728" t="str">
        <f>""</f>
        <v/>
      </c>
      <c r="G728" t="str">
        <f>"0.004"</f>
        <v>0.004</v>
      </c>
      <c r="H728" t="str">
        <f>""</f>
        <v/>
      </c>
      <c r="I728" t="str">
        <f t="shared" si="83"/>
        <v xml:space="preserve">                                                     </v>
      </c>
      <c r="J728" t="str">
        <f>""</f>
        <v/>
      </c>
    </row>
    <row r="729" spans="1:10">
      <c r="A729" s="1" t="str">
        <f t="shared" si="85"/>
        <v>3d6.4s.(6D&lt;9/2&gt;).5g</v>
      </c>
      <c r="B729" t="str">
        <f>"2[13/2]"</f>
        <v>2[13/2]</v>
      </c>
      <c r="C729" t="str">
        <f>"7"</f>
        <v>7</v>
      </c>
      <c r="D729" t="str">
        <f>""</f>
        <v/>
      </c>
      <c r="E729" t="str">
        <f>"59329.649"</f>
        <v>59329.649</v>
      </c>
      <c r="F729" t="str">
        <f>""</f>
        <v/>
      </c>
      <c r="G729" t="str">
        <f>"0.004"</f>
        <v>0.004</v>
      </c>
      <c r="H729" t="str">
        <f>""</f>
        <v/>
      </c>
      <c r="I729" t="str">
        <f t="shared" si="83"/>
        <v xml:space="preserve">                                                     </v>
      </c>
      <c r="J729" t="str">
        <f>""</f>
        <v/>
      </c>
    </row>
    <row r="730" spans="1:10">
      <c r="A730" s="1" t="str">
        <f t="shared" si="85"/>
        <v>3d6.4s.(6D&lt;9/2&gt;).5g</v>
      </c>
      <c r="B730" t="str">
        <f>"2[11/2]"</f>
        <v>2[11/2]</v>
      </c>
      <c r="C730" t="str">
        <f>"5"</f>
        <v>5</v>
      </c>
      <c r="D730" t="str">
        <f>""</f>
        <v/>
      </c>
      <c r="E730" t="str">
        <f>"59329.895"</f>
        <v>59329.895</v>
      </c>
      <c r="F730" t="str">
        <f>""</f>
        <v/>
      </c>
      <c r="G730" t="str">
        <f>"0.003"</f>
        <v>0.003</v>
      </c>
      <c r="H730" t="str">
        <f>""</f>
        <v/>
      </c>
      <c r="I730" t="str">
        <f t="shared" si="83"/>
        <v xml:space="preserve">                                                     </v>
      </c>
      <c r="J730" t="str">
        <f>""</f>
        <v/>
      </c>
    </row>
    <row r="731" spans="1:10">
      <c r="A731" s="1" t="str">
        <f t="shared" si="85"/>
        <v>3d6.4s.(6D&lt;9/2&gt;).5g</v>
      </c>
      <c r="B731" t="str">
        <f>"2[11/2]"</f>
        <v>2[11/2]</v>
      </c>
      <c r="C731" t="str">
        <f>"6"</f>
        <v>6</v>
      </c>
      <c r="D731" t="str">
        <f>""</f>
        <v/>
      </c>
      <c r="E731" t="str">
        <f>"59329.896"</f>
        <v>59329.896</v>
      </c>
      <c r="F731" t="str">
        <f>""</f>
        <v/>
      </c>
      <c r="G731" t="str">
        <f>"0.004"</f>
        <v>0.004</v>
      </c>
      <c r="H731" t="str">
        <f>""</f>
        <v/>
      </c>
      <c r="I731" t="str">
        <f t="shared" si="83"/>
        <v xml:space="preserve">                                                     </v>
      </c>
      <c r="J731" t="str">
        <f>""</f>
        <v/>
      </c>
    </row>
    <row r="732" spans="1:10">
      <c r="A732" s="1" t="str">
        <f t="shared" si="85"/>
        <v>3d6.4s.(6D&lt;9/2&gt;).5g</v>
      </c>
      <c r="B732" t="str">
        <f>"2[15/2]"</f>
        <v>2[15/2]</v>
      </c>
      <c r="C732" t="str">
        <f>"8"</f>
        <v>8</v>
      </c>
      <c r="D732" t="str">
        <f>""</f>
        <v/>
      </c>
      <c r="E732" t="str">
        <f>"59331.273"</f>
        <v>59331.273</v>
      </c>
      <c r="F732" t="str">
        <f>""</f>
        <v/>
      </c>
      <c r="G732" t="str">
        <f>"0.005"</f>
        <v>0.005</v>
      </c>
      <c r="H732" t="str">
        <f>""</f>
        <v/>
      </c>
      <c r="I732" t="str">
        <f t="shared" si="83"/>
        <v xml:space="preserve">                                                     </v>
      </c>
      <c r="J732" t="str">
        <f>""</f>
        <v/>
      </c>
    </row>
    <row r="733" spans="1:10">
      <c r="A733" s="1" t="str">
        <f t="shared" si="85"/>
        <v>3d6.4s.(6D&lt;9/2&gt;).5g</v>
      </c>
      <c r="B733" t="str">
        <f>"2[15/2]"</f>
        <v>2[15/2]</v>
      </c>
      <c r="C733" t="str">
        <f>"7"</f>
        <v>7</v>
      </c>
      <c r="D733" t="str">
        <f>""</f>
        <v/>
      </c>
      <c r="E733" t="str">
        <f>"59331.274"</f>
        <v>59331.274</v>
      </c>
      <c r="F733" t="str">
        <f>""</f>
        <v/>
      </c>
      <c r="G733" t="str">
        <f>"0.004"</f>
        <v>0.004</v>
      </c>
      <c r="H733" t="str">
        <f>""</f>
        <v/>
      </c>
      <c r="I733" t="str">
        <f t="shared" si="83"/>
        <v xml:space="preserve">                                                     </v>
      </c>
      <c r="J733" t="str">
        <f>""</f>
        <v/>
      </c>
    </row>
    <row r="734" spans="1:10">
      <c r="A734" s="1" t="str">
        <f t="shared" si="85"/>
        <v>3d6.4s.(6D&lt;9/2&gt;).5g</v>
      </c>
      <c r="B734" t="str">
        <f>"2[9/2]"</f>
        <v>2[9/2]</v>
      </c>
      <c r="C734" t="str">
        <f>"5"</f>
        <v>5</v>
      </c>
      <c r="D734" t="str">
        <f>""</f>
        <v/>
      </c>
      <c r="E734" t="str">
        <f>"59331.290"</f>
        <v>59331.290</v>
      </c>
      <c r="F734" t="str">
        <f>""</f>
        <v/>
      </c>
      <c r="G734" t="str">
        <f>"0.004"</f>
        <v>0.004</v>
      </c>
      <c r="H734" t="str">
        <f>""</f>
        <v/>
      </c>
      <c r="I734" t="str">
        <f t="shared" si="83"/>
        <v xml:space="preserve">                                                     </v>
      </c>
      <c r="J734" t="str">
        <f>""</f>
        <v/>
      </c>
    </row>
    <row r="735" spans="1:10">
      <c r="A735" s="1" t="str">
        <f t="shared" si="85"/>
        <v>3d6.4s.(6D&lt;9/2&gt;).5g</v>
      </c>
      <c r="B735" t="str">
        <f>"2[9/2]"</f>
        <v>2[9/2]</v>
      </c>
      <c r="C735" t="str">
        <f>"4"</f>
        <v>4</v>
      </c>
      <c r="D735" t="str">
        <f>""</f>
        <v/>
      </c>
      <c r="E735" t="str">
        <f>"59331.291"</f>
        <v>59331.291</v>
      </c>
      <c r="F735" t="str">
        <f>""</f>
        <v/>
      </c>
      <c r="G735" t="str">
        <f>"0.004"</f>
        <v>0.004</v>
      </c>
      <c r="H735" t="str">
        <f>""</f>
        <v/>
      </c>
      <c r="I735" t="str">
        <f t="shared" si="83"/>
        <v xml:space="preserve">                                                     </v>
      </c>
      <c r="J735" t="str">
        <f>""</f>
        <v/>
      </c>
    </row>
    <row r="736" spans="1:10">
      <c r="A736" s="1" t="str">
        <f t="shared" si="85"/>
        <v>3d6.4s.(6D&lt;9/2&gt;).5g</v>
      </c>
      <c r="B736" t="str">
        <f>"2[7/2]"</f>
        <v>2[7/2]</v>
      </c>
      <c r="C736" t="str">
        <f>"4"</f>
        <v>4</v>
      </c>
      <c r="D736" t="str">
        <f>""</f>
        <v/>
      </c>
      <c r="E736" t="str">
        <f>"59333.259"</f>
        <v>59333.259</v>
      </c>
      <c r="F736" t="str">
        <f>""</f>
        <v/>
      </c>
      <c r="G736" t="str">
        <f>"0.004"</f>
        <v>0.004</v>
      </c>
      <c r="H736" t="str">
        <f>""</f>
        <v/>
      </c>
      <c r="I736" t="str">
        <f t="shared" si="83"/>
        <v xml:space="preserve">                                                     </v>
      </c>
      <c r="J736" t="str">
        <f>""</f>
        <v/>
      </c>
    </row>
    <row r="737" spans="1:10">
      <c r="A737" s="1" t="str">
        <f t="shared" si="85"/>
        <v>3d6.4s.(6D&lt;9/2&gt;).5g</v>
      </c>
      <c r="B737" t="str">
        <f>"2[7/2]"</f>
        <v>2[7/2]</v>
      </c>
      <c r="C737" t="str">
        <f>"3"</f>
        <v>3</v>
      </c>
      <c r="D737" t="str">
        <f>""</f>
        <v/>
      </c>
      <c r="E737" t="str">
        <f>"59333.261"</f>
        <v>59333.261</v>
      </c>
      <c r="F737" t="str">
        <f>""</f>
        <v/>
      </c>
      <c r="G737" t="str">
        <f>"0.004"</f>
        <v>0.004</v>
      </c>
      <c r="H737" t="str">
        <f>""</f>
        <v/>
      </c>
      <c r="I737" t="str">
        <f t="shared" ref="I737:I750" si="86">"                                                     "</f>
        <v xml:space="preserve">                                                     </v>
      </c>
      <c r="J737" t="str">
        <f>""</f>
        <v/>
      </c>
    </row>
    <row r="738" spans="1:10">
      <c r="A738" s="1" t="str">
        <f t="shared" si="85"/>
        <v>3d6.4s.(6D&lt;9/2&gt;).5g</v>
      </c>
      <c r="B738" t="str">
        <f>"2[5/2]"</f>
        <v>2[5/2]</v>
      </c>
      <c r="C738" t="str">
        <f>"3"</f>
        <v>3</v>
      </c>
      <c r="D738" t="str">
        <f>""</f>
        <v/>
      </c>
      <c r="E738" t="str">
        <f>"59335.320"</f>
        <v>59335.320</v>
      </c>
      <c r="F738" t="str">
        <f>""</f>
        <v/>
      </c>
      <c r="G738" t="str">
        <f>"0.003"</f>
        <v>0.003</v>
      </c>
      <c r="H738" t="str">
        <f>""</f>
        <v/>
      </c>
      <c r="I738" t="str">
        <f t="shared" si="86"/>
        <v xml:space="preserve">                                                     </v>
      </c>
      <c r="J738" t="str">
        <f>""</f>
        <v/>
      </c>
    </row>
    <row r="739" spans="1:10">
      <c r="A739" s="1" t="str">
        <f t="shared" si="85"/>
        <v>3d6.4s.(6D&lt;9/2&gt;).5g</v>
      </c>
      <c r="B739" t="str">
        <f>"2[5/2]"</f>
        <v>2[5/2]</v>
      </c>
      <c r="C739" t="str">
        <f>"2"</f>
        <v>2</v>
      </c>
      <c r="D739" t="str">
        <f>""</f>
        <v/>
      </c>
      <c r="E739" t="str">
        <f>"59335.321"</f>
        <v>59335.321</v>
      </c>
      <c r="F739" t="str">
        <f>""</f>
        <v/>
      </c>
      <c r="G739" t="str">
        <f>"0.005"</f>
        <v>0.005</v>
      </c>
      <c r="H739" t="str">
        <f>""</f>
        <v/>
      </c>
      <c r="I739" t="str">
        <f t="shared" si="86"/>
        <v xml:space="preserve">                                                     </v>
      </c>
      <c r="J739" t="str">
        <f>""</f>
        <v/>
      </c>
    </row>
    <row r="740" spans="1:10">
      <c r="A740" s="1" t="str">
        <f t="shared" si="85"/>
        <v>3d6.4s.(6D&lt;9/2&gt;).5g</v>
      </c>
      <c r="B740" t="str">
        <f>"2[17/2]"</f>
        <v>2[17/2]</v>
      </c>
      <c r="C740" t="str">
        <f>"8"</f>
        <v>8</v>
      </c>
      <c r="D740" t="str">
        <f>""</f>
        <v/>
      </c>
      <c r="E740" t="str">
        <f>"59335.72"</f>
        <v>59335.72</v>
      </c>
      <c r="F740" t="str">
        <f>""</f>
        <v/>
      </c>
      <c r="G740" t="str">
        <f>"0.02"</f>
        <v>0.02</v>
      </c>
      <c r="H740" t="str">
        <f>""</f>
        <v/>
      </c>
      <c r="I740" t="str">
        <f t="shared" si="86"/>
        <v xml:space="preserve">                                                     </v>
      </c>
      <c r="J740" t="str">
        <f>""</f>
        <v/>
      </c>
    </row>
    <row r="741" spans="1:10">
      <c r="A741" s="1" t="str">
        <f t="shared" si="85"/>
        <v>3d6.4s.(6D&lt;9/2&gt;).5g</v>
      </c>
      <c r="B741" t="str">
        <f>"2[17/2]"</f>
        <v>2[17/2]</v>
      </c>
      <c r="C741" t="str">
        <f>"9"</f>
        <v>9</v>
      </c>
      <c r="D741" t="str">
        <f>""</f>
        <v/>
      </c>
      <c r="E741" t="str">
        <f>"59335.73"</f>
        <v>59335.73</v>
      </c>
      <c r="F741" t="str">
        <f>""</f>
        <v/>
      </c>
      <c r="G741" t="str">
        <f>"0.02"</f>
        <v>0.02</v>
      </c>
      <c r="H741" t="str">
        <f>""</f>
        <v/>
      </c>
      <c r="I741" t="str">
        <f t="shared" si="86"/>
        <v xml:space="preserve">                                                     </v>
      </c>
      <c r="J741" t="str">
        <f>""</f>
        <v/>
      </c>
    </row>
    <row r="742" spans="1:10">
      <c r="A742" s="1" t="str">
        <f t="shared" si="85"/>
        <v>3d6.4s.(6D&lt;9/2&gt;).5g</v>
      </c>
      <c r="B742" t="str">
        <f>"2[3/2]"</f>
        <v>2[3/2]</v>
      </c>
      <c r="C742" t="str">
        <f>"1"</f>
        <v>1</v>
      </c>
      <c r="D742" t="str">
        <f>""</f>
        <v/>
      </c>
      <c r="E742" t="str">
        <f>"59337.082"</f>
        <v>59337.082</v>
      </c>
      <c r="F742" t="str">
        <f>""</f>
        <v/>
      </c>
      <c r="G742" t="str">
        <f>"0.005"</f>
        <v>0.005</v>
      </c>
      <c r="H742" t="str">
        <f>""</f>
        <v/>
      </c>
      <c r="I742" t="str">
        <f t="shared" si="86"/>
        <v xml:space="preserve">                                                     </v>
      </c>
      <c r="J742" t="str">
        <f>""</f>
        <v/>
      </c>
    </row>
    <row r="743" spans="1:10">
      <c r="A743" s="1" t="str">
        <f t="shared" si="85"/>
        <v>3d6.4s.(6D&lt;9/2&gt;).5g</v>
      </c>
      <c r="B743" t="str">
        <f>"2[3/2]"</f>
        <v>2[3/2]</v>
      </c>
      <c r="C743" t="str">
        <f>"2"</f>
        <v>2</v>
      </c>
      <c r="D743" t="str">
        <f>""</f>
        <v/>
      </c>
      <c r="E743" t="str">
        <f>"59337.085"</f>
        <v>59337.085</v>
      </c>
      <c r="F743" t="str">
        <f>""</f>
        <v/>
      </c>
      <c r="G743" t="str">
        <f>"0.005"</f>
        <v>0.005</v>
      </c>
      <c r="H743" t="str">
        <f>""</f>
        <v/>
      </c>
      <c r="I743" t="str">
        <f t="shared" si="86"/>
        <v xml:space="preserve">                                                     </v>
      </c>
      <c r="J743" t="str">
        <f>""</f>
        <v/>
      </c>
    </row>
    <row r="744" spans="1:10">
      <c r="A744" s="1" t="str">
        <f t="shared" si="85"/>
        <v>3d6.4s.(6D&lt;9/2&gt;).5g</v>
      </c>
      <c r="B744" t="str">
        <f>"2[1/2]"</f>
        <v>2[1/2]</v>
      </c>
      <c r="C744" t="str">
        <f>"1"</f>
        <v>1</v>
      </c>
      <c r="D744" t="str">
        <f>""</f>
        <v/>
      </c>
      <c r="E744" t="str">
        <f>"59338.259"</f>
        <v>59338.259</v>
      </c>
      <c r="F744" t="str">
        <f>""</f>
        <v/>
      </c>
      <c r="G744" t="str">
        <f>"0.007"</f>
        <v>0.007</v>
      </c>
      <c r="H744" t="str">
        <f>""</f>
        <v/>
      </c>
      <c r="I744" t="str">
        <f t="shared" si="86"/>
        <v xml:space="preserve">                                                     </v>
      </c>
      <c r="J744" t="str">
        <f>""</f>
        <v/>
      </c>
    </row>
    <row r="745" spans="1:10">
      <c r="A745" s="1" t="str">
        <f t="shared" si="85"/>
        <v>3d6.4s.(6D&lt;9/2&gt;).5g</v>
      </c>
      <c r="B745" t="str">
        <f>"2[1/2]"</f>
        <v>2[1/2]</v>
      </c>
      <c r="C745" t="str">
        <f>"0"</f>
        <v>0</v>
      </c>
      <c r="D745" t="str">
        <f>""</f>
        <v/>
      </c>
      <c r="E745" t="str">
        <f>"59338.274"</f>
        <v>59338.274</v>
      </c>
      <c r="F745" t="str">
        <f>""</f>
        <v/>
      </c>
      <c r="G745" t="str">
        <f>"0.015"</f>
        <v>0.015</v>
      </c>
      <c r="H745" t="str">
        <f>""</f>
        <v/>
      </c>
      <c r="I745" t="str">
        <f t="shared" si="86"/>
        <v xml:space="preserve">                                                     </v>
      </c>
      <c r="J745" t="str">
        <f>""</f>
        <v/>
      </c>
    </row>
    <row r="746" spans="1:10">
      <c r="A746" s="1" t="str">
        <f>""</f>
        <v/>
      </c>
      <c r="B746" t="str">
        <f>"59390e"</f>
        <v>59390e</v>
      </c>
      <c r="C746" t="str">
        <f>"3"</f>
        <v>3</v>
      </c>
      <c r="D746" t="str">
        <f>""</f>
        <v/>
      </c>
      <c r="E746" t="str">
        <f>"59390.684"</f>
        <v>59390.684</v>
      </c>
      <c r="F746" t="str">
        <f>""</f>
        <v/>
      </c>
      <c r="G746" t="str">
        <f>"0.007"</f>
        <v>0.007</v>
      </c>
      <c r="H746" t="str">
        <f>""</f>
        <v/>
      </c>
      <c r="I746" t="str">
        <f t="shared" si="86"/>
        <v xml:space="preserve">                                                     </v>
      </c>
      <c r="J746" t="str">
        <f>""</f>
        <v/>
      </c>
    </row>
    <row r="747" spans="1:10">
      <c r="A747" s="1" t="str">
        <f>"3d6.4s.(6D&lt;7/2&gt;).6d"</f>
        <v>3d6.4s.(6D&lt;7/2&gt;).6d</v>
      </c>
      <c r="B747" t="str">
        <f>"2[9/2]"</f>
        <v>2[9/2]</v>
      </c>
      <c r="C747" t="str">
        <f>"5"</f>
        <v>5</v>
      </c>
      <c r="D747" t="str">
        <f>""</f>
        <v/>
      </c>
      <c r="E747" t="str">
        <f>"59463.514"</f>
        <v>59463.514</v>
      </c>
      <c r="F747" t="str">
        <f>""</f>
        <v/>
      </c>
      <c r="G747" t="str">
        <f>"0.013"</f>
        <v>0.013</v>
      </c>
      <c r="H747" t="str">
        <f>""</f>
        <v/>
      </c>
      <c r="I747" t="str">
        <f t="shared" si="86"/>
        <v xml:space="preserve">                                                     </v>
      </c>
      <c r="J747" t="str">
        <f>""</f>
        <v/>
      </c>
    </row>
    <row r="748" spans="1:10">
      <c r="A748" s="1" t="str">
        <f>"3d6.4s.(6D&lt;7/2&gt;).6d"</f>
        <v>3d6.4s.(6D&lt;7/2&gt;).6d</v>
      </c>
      <c r="B748" t="str">
        <f>"2[9/2]"</f>
        <v>2[9/2]</v>
      </c>
      <c r="C748" t="str">
        <f>"4"</f>
        <v>4</v>
      </c>
      <c r="D748" t="str">
        <f>""</f>
        <v/>
      </c>
      <c r="E748" t="str">
        <f>"59532.84"</f>
        <v>59532.84</v>
      </c>
      <c r="F748" t="str">
        <f>""</f>
        <v/>
      </c>
      <c r="G748" t="str">
        <f>"0.03"</f>
        <v>0.03</v>
      </c>
      <c r="H748" t="str">
        <f>""</f>
        <v/>
      </c>
      <c r="I748" t="str">
        <f t="shared" si="86"/>
        <v xml:space="preserve">                                                     </v>
      </c>
      <c r="J748" t="str">
        <f>""</f>
        <v/>
      </c>
    </row>
    <row r="749" spans="1:10">
      <c r="A749" s="1" t="str">
        <f>"3d6.4s.(6D&lt;7/2&gt;).6d"</f>
        <v>3d6.4s.(6D&lt;7/2&gt;).6d</v>
      </c>
      <c r="B749" t="str">
        <f>"2[7/2]"</f>
        <v>2[7/2]</v>
      </c>
      <c r="C749" t="str">
        <f>"4"</f>
        <v>4</v>
      </c>
      <c r="D749" t="str">
        <f>""</f>
        <v/>
      </c>
      <c r="E749" t="str">
        <f>"59475.63"</f>
        <v>59475.63</v>
      </c>
      <c r="F749" t="str">
        <f>""</f>
        <v/>
      </c>
      <c r="G749" t="str">
        <f>"0.03"</f>
        <v>0.03</v>
      </c>
      <c r="H749" t="str">
        <f>""</f>
        <v/>
      </c>
      <c r="I749" t="str">
        <f t="shared" si="86"/>
        <v xml:space="preserve">                                                     </v>
      </c>
      <c r="J749" t="str">
        <f>""</f>
        <v/>
      </c>
    </row>
    <row r="750" spans="1:10">
      <c r="A750" s="1" t="str">
        <f>"3d6.4s.(6D&lt;7/2&gt;).6d"</f>
        <v>3d6.4s.(6D&lt;7/2&gt;).6d</v>
      </c>
      <c r="B750" t="str">
        <f>"2[7/2]"</f>
        <v>2[7/2]</v>
      </c>
      <c r="C750" t="str">
        <f>"3"</f>
        <v>3</v>
      </c>
      <c r="D750" t="str">
        <f>""</f>
        <v/>
      </c>
      <c r="E750" t="str">
        <f>"59520.304"</f>
        <v>59520.304</v>
      </c>
      <c r="F750" t="str">
        <f>""</f>
        <v/>
      </c>
      <c r="G750" t="str">
        <f>"0.011"</f>
        <v>0.011</v>
      </c>
      <c r="H750" t="str">
        <f>""</f>
        <v/>
      </c>
      <c r="I750" t="str">
        <f t="shared" si="86"/>
        <v xml:space="preserve">                                                     </v>
      </c>
      <c r="J750" t="str">
        <f>""</f>
        <v/>
      </c>
    </row>
    <row r="751" spans="1:10">
      <c r="A751" s="1" t="str">
        <f>"3d6.(3P2).4s.4p.(1P*)"</f>
        <v>3d6.(3P2).4s.4p.(1P*)</v>
      </c>
      <c r="B751" t="str">
        <f>"3S*"</f>
        <v>3S*</v>
      </c>
      <c r="C751" t="str">
        <f>"1"</f>
        <v>1</v>
      </c>
      <c r="D751" t="str">
        <f>""</f>
        <v/>
      </c>
      <c r="E751" t="str">
        <f>"59500.628"</f>
        <v>59500.628</v>
      </c>
      <c r="F751" t="str">
        <f>""</f>
        <v/>
      </c>
      <c r="G751" t="str">
        <f>"0.003"</f>
        <v>0.003</v>
      </c>
      <c r="H751" t="str">
        <f>""</f>
        <v/>
      </c>
      <c r="I751" t="str">
        <f>"  71             :    19  3d7.(2P).4s           3S*  "</f>
        <v xml:space="preserve">  71             :    19  3d7.(2P).4s           3S*  </v>
      </c>
      <c r="J751" t="str">
        <f>""</f>
        <v/>
      </c>
    </row>
    <row r="752" spans="1:10">
      <c r="A752" s="1" t="str">
        <f>"3d6.4s.(6D&lt;7/2&gt;).6d"</f>
        <v>3d6.4s.(6D&lt;7/2&gt;).6d</v>
      </c>
      <c r="B752" t="str">
        <f>"2[5/2]"</f>
        <v>2[5/2]</v>
      </c>
      <c r="C752" t="str">
        <f>"2"</f>
        <v>2</v>
      </c>
      <c r="D752" t="str">
        <f>""</f>
        <v/>
      </c>
      <c r="E752" t="str">
        <f>"59514.13"</f>
        <v>59514.13</v>
      </c>
      <c r="F752" t="str">
        <f>""</f>
        <v/>
      </c>
      <c r="G752" t="str">
        <f>"0.03"</f>
        <v>0.03</v>
      </c>
      <c r="H752" t="str">
        <f>""</f>
        <v/>
      </c>
      <c r="I752" t="str">
        <f t="shared" ref="I752:I783" si="87">"                                                     "</f>
        <v xml:space="preserve">                                                     </v>
      </c>
      <c r="J752" t="str">
        <f>""</f>
        <v/>
      </c>
    </row>
    <row r="753" spans="1:10">
      <c r="A753" s="1" t="str">
        <f>"3d6.4s.(6D&lt;7/2&gt;).6d"</f>
        <v>3d6.4s.(6D&lt;7/2&gt;).6d</v>
      </c>
      <c r="B753" t="str">
        <f>"2[5/2]"</f>
        <v>2[5/2]</v>
      </c>
      <c r="C753" t="str">
        <f>"3"</f>
        <v>3</v>
      </c>
      <c r="D753" t="str">
        <f>""</f>
        <v/>
      </c>
      <c r="E753" t="str">
        <f>"59538.594"</f>
        <v>59538.594</v>
      </c>
      <c r="F753" t="str">
        <f>""</f>
        <v/>
      </c>
      <c r="G753" t="str">
        <f>"0.015"</f>
        <v>0.015</v>
      </c>
      <c r="H753" t="str">
        <f>""</f>
        <v/>
      </c>
      <c r="I753" t="str">
        <f t="shared" si="87"/>
        <v xml:space="preserve">                                                     </v>
      </c>
      <c r="J753" t="str">
        <f>""</f>
        <v/>
      </c>
    </row>
    <row r="754" spans="1:10">
      <c r="A754" s="1" t="str">
        <f>"3d6.(5D).4p2.(3P)"</f>
        <v>3d6.(5D).4p2.(3P)</v>
      </c>
      <c r="B754" t="str">
        <f>"7F"</f>
        <v>7F</v>
      </c>
      <c r="C754" t="str">
        <f>"5"</f>
        <v>5</v>
      </c>
      <c r="D754" t="str">
        <f>""</f>
        <v/>
      </c>
      <c r="E754" t="str">
        <f>"59523.88"</f>
        <v>59523.88</v>
      </c>
      <c r="F754" t="str">
        <f>""</f>
        <v/>
      </c>
      <c r="G754" t="str">
        <f>"0.05"</f>
        <v>0.05</v>
      </c>
      <c r="H754" t="str">
        <f>""</f>
        <v/>
      </c>
      <c r="I754" t="str">
        <f t="shared" si="87"/>
        <v xml:space="preserve">                                                     </v>
      </c>
      <c r="J754" t="str">
        <f>""</f>
        <v/>
      </c>
    </row>
    <row r="755" spans="1:10">
      <c r="A755" s="1" t="str">
        <f>"3d6.(5D).4p2.(3P)"</f>
        <v>3d6.(5D).4p2.(3P)</v>
      </c>
      <c r="B755" t="str">
        <f>"7F"</f>
        <v>7F</v>
      </c>
      <c r="C755" t="str">
        <f>"4"</f>
        <v>4</v>
      </c>
      <c r="D755" t="str">
        <f>""</f>
        <v/>
      </c>
      <c r="E755" t="str">
        <f>"59664.704"</f>
        <v>59664.704</v>
      </c>
      <c r="F755" t="str">
        <f>""</f>
        <v/>
      </c>
      <c r="G755" t="str">
        <f>"0.017"</f>
        <v>0.017</v>
      </c>
      <c r="H755" t="str">
        <f>""</f>
        <v/>
      </c>
      <c r="I755" t="str">
        <f t="shared" si="87"/>
        <v xml:space="preserve">                                                     </v>
      </c>
      <c r="J755" t="str">
        <f>""</f>
        <v/>
      </c>
    </row>
    <row r="756" spans="1:10">
      <c r="A756" s="1" t="str">
        <f>"3d6.(5D).4p2.(3P)"</f>
        <v>3d6.(5D).4p2.(3P)</v>
      </c>
      <c r="B756" t="str">
        <f>"7F"</f>
        <v>7F</v>
      </c>
      <c r="C756" t="str">
        <f>"2"</f>
        <v>2</v>
      </c>
      <c r="D756" t="str">
        <f>""</f>
        <v/>
      </c>
      <c r="E756" t="str">
        <f>"60533.113"</f>
        <v>60533.113</v>
      </c>
      <c r="F756" t="str">
        <f>""</f>
        <v/>
      </c>
      <c r="G756" t="str">
        <f>"0.01"</f>
        <v>0.01</v>
      </c>
      <c r="H756" t="str">
        <f>""</f>
        <v/>
      </c>
      <c r="I756" t="str">
        <f t="shared" si="87"/>
        <v xml:space="preserve">                                                     </v>
      </c>
      <c r="J756" t="str">
        <f>""</f>
        <v/>
      </c>
    </row>
    <row r="757" spans="1:10">
      <c r="A757" s="1" t="str">
        <f>"3d6.4s.(6D&lt;7/2&gt;).6d"</f>
        <v>3d6.4s.(6D&lt;7/2&gt;).6d</v>
      </c>
      <c r="B757" t="str">
        <f>"2[11/2]"</f>
        <v>2[11/2]</v>
      </c>
      <c r="C757" t="str">
        <f>"6"</f>
        <v>6</v>
      </c>
      <c r="D757" t="str">
        <f>""</f>
        <v/>
      </c>
      <c r="E757" t="str">
        <f>"59541.124"</f>
        <v>59541.124</v>
      </c>
      <c r="F757" t="str">
        <f>""</f>
        <v/>
      </c>
      <c r="G757" t="str">
        <f>"0.015"</f>
        <v>0.015</v>
      </c>
      <c r="H757" t="str">
        <f>""</f>
        <v/>
      </c>
      <c r="I757" t="str">
        <f t="shared" si="87"/>
        <v xml:space="preserve">                                                     </v>
      </c>
      <c r="J757" t="str">
        <f>""</f>
        <v/>
      </c>
    </row>
    <row r="758" spans="1:10">
      <c r="A758" s="1" t="str">
        <f>"3d6.4s.(6D&lt;7/2&gt;).6d"</f>
        <v>3d6.4s.(6D&lt;7/2&gt;).6d</v>
      </c>
      <c r="B758" t="str">
        <f>"2[11/2]"</f>
        <v>2[11/2]</v>
      </c>
      <c r="C758" t="str">
        <f>"5"</f>
        <v>5</v>
      </c>
      <c r="D758" t="str">
        <f>""</f>
        <v/>
      </c>
      <c r="E758" t="str">
        <f>"59556.32"</f>
        <v>59556.32</v>
      </c>
      <c r="F758" t="str">
        <f>""</f>
        <v/>
      </c>
      <c r="G758" t="str">
        <f>"0.03"</f>
        <v>0.03</v>
      </c>
      <c r="H758" t="str">
        <f>""</f>
        <v/>
      </c>
      <c r="I758" t="str">
        <f t="shared" si="87"/>
        <v xml:space="preserve">                                                     </v>
      </c>
      <c r="J758" t="str">
        <f>""</f>
        <v/>
      </c>
    </row>
    <row r="759" spans="1:10">
      <c r="A759" s="1" t="str">
        <f>"3d6.4s.(6D&lt;7/2&gt;).6d"</f>
        <v>3d6.4s.(6D&lt;7/2&gt;).6d</v>
      </c>
      <c r="B759" t="str">
        <f>"2[3/2]"</f>
        <v>2[3/2]</v>
      </c>
      <c r="C759" t="str">
        <f>"2"</f>
        <v>2</v>
      </c>
      <c r="D759" t="str">
        <f>""</f>
        <v/>
      </c>
      <c r="E759" t="str">
        <f>"59569.374"</f>
        <v>59569.374</v>
      </c>
      <c r="F759" t="str">
        <f>""</f>
        <v/>
      </c>
      <c r="G759" t="str">
        <f>"0.018"</f>
        <v>0.018</v>
      </c>
      <c r="H759" t="str">
        <f>""</f>
        <v/>
      </c>
      <c r="I759" t="str">
        <f t="shared" si="87"/>
        <v xml:space="preserve">                                                     </v>
      </c>
      <c r="J759" t="str">
        <f>""</f>
        <v/>
      </c>
    </row>
    <row r="760" spans="1:10">
      <c r="A760" s="1" t="str">
        <f>"3d6.4s.(6D&lt;7/2&gt;).6d"</f>
        <v>3d6.4s.(6D&lt;7/2&gt;).6d</v>
      </c>
      <c r="B760" t="str">
        <f>"2[3/2]"</f>
        <v>2[3/2]</v>
      </c>
      <c r="C760" t="str">
        <f>"1"</f>
        <v>1</v>
      </c>
      <c r="D760" t="str">
        <f>""</f>
        <v/>
      </c>
      <c r="E760" t="str">
        <f>"59590.85"</f>
        <v>59590.85</v>
      </c>
      <c r="F760" t="str">
        <f>""</f>
        <v/>
      </c>
      <c r="G760" t="str">
        <f>"0.04"</f>
        <v>0.04</v>
      </c>
      <c r="H760" t="str">
        <f>""</f>
        <v/>
      </c>
      <c r="I760" t="str">
        <f t="shared" si="87"/>
        <v xml:space="preserve">                                                     </v>
      </c>
      <c r="J760" t="str">
        <f>""</f>
        <v/>
      </c>
    </row>
    <row r="761" spans="1:10">
      <c r="A761" s="1" t="str">
        <f>"3d6.4s.(6D&lt;7/2&gt;).5f"</f>
        <v>3d6.4s.(6D&lt;7/2&gt;).5f</v>
      </c>
      <c r="B761" t="str">
        <f>"2[11/2]*"</f>
        <v>2[11/2]*</v>
      </c>
      <c r="C761" t="str">
        <f>"5"</f>
        <v>5</v>
      </c>
      <c r="D761" t="str">
        <f>""</f>
        <v/>
      </c>
      <c r="E761" t="str">
        <f>"59663.964"</f>
        <v>59663.964</v>
      </c>
      <c r="F761" t="str">
        <f>""</f>
        <v/>
      </c>
      <c r="G761" t="str">
        <f>"0.003"</f>
        <v>0.003</v>
      </c>
      <c r="H761" t="str">
        <f>""</f>
        <v/>
      </c>
      <c r="I761" t="str">
        <f t="shared" si="87"/>
        <v xml:space="preserve">                                                     </v>
      </c>
      <c r="J761" t="str">
        <f>""</f>
        <v/>
      </c>
    </row>
    <row r="762" spans="1:10">
      <c r="A762" s="1" t="str">
        <f>"3d6.4s.(6D&lt;7/2&gt;).5f"</f>
        <v>3d6.4s.(6D&lt;7/2&gt;).5f</v>
      </c>
      <c r="B762" t="str">
        <f>"2[13/2]*"</f>
        <v>2[13/2]*</v>
      </c>
      <c r="C762" t="str">
        <f>"7"</f>
        <v>7</v>
      </c>
      <c r="D762" t="str">
        <f>""</f>
        <v/>
      </c>
      <c r="E762" t="str">
        <f>"59669.004"</f>
        <v>59669.004</v>
      </c>
      <c r="F762" t="str">
        <f>""</f>
        <v/>
      </c>
      <c r="G762" t="str">
        <f>"0.003"</f>
        <v>0.003</v>
      </c>
      <c r="H762" t="str">
        <f>""</f>
        <v/>
      </c>
      <c r="I762" t="str">
        <f t="shared" si="87"/>
        <v xml:space="preserve">                                                     </v>
      </c>
      <c r="J762" t="str">
        <f>""</f>
        <v/>
      </c>
    </row>
    <row r="763" spans="1:10">
      <c r="A763" s="1" t="str">
        <f>"3d6.4s.(6D&lt;7/2&gt;).5f"</f>
        <v>3d6.4s.(6D&lt;7/2&gt;).5f</v>
      </c>
      <c r="B763" t="str">
        <f>"2[13/2]*"</f>
        <v>2[13/2]*</v>
      </c>
      <c r="C763" t="str">
        <f>"6"</f>
        <v>6</v>
      </c>
      <c r="D763" t="str">
        <f>""</f>
        <v/>
      </c>
      <c r="E763" t="str">
        <f>"59670.084"</f>
        <v>59670.084</v>
      </c>
      <c r="F763" t="str">
        <f>""</f>
        <v/>
      </c>
      <c r="G763" t="str">
        <f>"0.009"</f>
        <v>0.009</v>
      </c>
      <c r="H763" t="str">
        <f>""</f>
        <v/>
      </c>
      <c r="I763" t="str">
        <f t="shared" si="87"/>
        <v xml:space="preserve">                                                     </v>
      </c>
      <c r="J763" t="str">
        <f>""</f>
        <v/>
      </c>
    </row>
    <row r="764" spans="1:10">
      <c r="A764" s="1" t="str">
        <f t="shared" ref="A764:A771" si="88">"3d7.(4F&lt;5/2&gt;).4f"</f>
        <v>3d7.(4F&lt;5/2&gt;).4f</v>
      </c>
      <c r="B764" t="str">
        <f>"2[7/2]*"</f>
        <v>2[7/2]*</v>
      </c>
      <c r="C764" t="str">
        <f>"4"</f>
        <v>4</v>
      </c>
      <c r="D764" t="str">
        <f>""</f>
        <v/>
      </c>
      <c r="E764" t="str">
        <f>"59671.467"</f>
        <v>59671.467</v>
      </c>
      <c r="F764" t="str">
        <f>""</f>
        <v/>
      </c>
      <c r="G764" t="str">
        <f>"0.002"</f>
        <v>0.002</v>
      </c>
      <c r="H764" t="str">
        <f>""</f>
        <v/>
      </c>
      <c r="I764" t="str">
        <f t="shared" si="87"/>
        <v xml:space="preserve">                                                     </v>
      </c>
      <c r="J764" t="str">
        <f>""</f>
        <v/>
      </c>
    </row>
    <row r="765" spans="1:10">
      <c r="A765" s="1" t="str">
        <f t="shared" si="88"/>
        <v>3d7.(4F&lt;5/2&gt;).4f</v>
      </c>
      <c r="B765" t="str">
        <f>"2[7/2]*"</f>
        <v>2[7/2]*</v>
      </c>
      <c r="C765" t="str">
        <f>"3"</f>
        <v>3</v>
      </c>
      <c r="D765" t="str">
        <f>""</f>
        <v/>
      </c>
      <c r="E765" t="str">
        <f>"59671.962"</f>
        <v>59671.962</v>
      </c>
      <c r="F765" t="str">
        <f>""</f>
        <v/>
      </c>
      <c r="G765" t="str">
        <f>"0.005"</f>
        <v>0.005</v>
      </c>
      <c r="H765" t="str">
        <f>""</f>
        <v/>
      </c>
      <c r="I765" t="str">
        <f t="shared" si="87"/>
        <v xml:space="preserve">                                                     </v>
      </c>
      <c r="J765" t="str">
        <f>""</f>
        <v/>
      </c>
    </row>
    <row r="766" spans="1:10">
      <c r="A766" s="1" t="str">
        <f t="shared" si="88"/>
        <v>3d7.(4F&lt;5/2&gt;).4f</v>
      </c>
      <c r="B766" t="str">
        <f>"2[9/2]*"</f>
        <v>2[9/2]*</v>
      </c>
      <c r="C766" t="str">
        <f>"5"</f>
        <v>5</v>
      </c>
      <c r="D766" t="str">
        <f>""</f>
        <v/>
      </c>
      <c r="E766" t="str">
        <f>"59671.600"</f>
        <v>59671.600</v>
      </c>
      <c r="F766" t="str">
        <f>""</f>
        <v/>
      </c>
      <c r="G766" t="str">
        <f>"0.003"</f>
        <v>0.003</v>
      </c>
      <c r="H766" t="str">
        <f>""</f>
        <v/>
      </c>
      <c r="I766" t="str">
        <f t="shared" si="87"/>
        <v xml:space="preserve">                                                     </v>
      </c>
      <c r="J766" t="str">
        <f>""</f>
        <v/>
      </c>
    </row>
    <row r="767" spans="1:10">
      <c r="A767" s="1" t="str">
        <f t="shared" si="88"/>
        <v>3d7.(4F&lt;5/2&gt;).4f</v>
      </c>
      <c r="B767" t="str">
        <f>"2[9/2]*"</f>
        <v>2[9/2]*</v>
      </c>
      <c r="C767" t="str">
        <f>"4"</f>
        <v>4</v>
      </c>
      <c r="D767" t="str">
        <f>""</f>
        <v/>
      </c>
      <c r="E767" t="str">
        <f>"59673.113"</f>
        <v>59673.113</v>
      </c>
      <c r="F767" t="str">
        <f>""</f>
        <v/>
      </c>
      <c r="G767" t="str">
        <f>"0.003"</f>
        <v>0.003</v>
      </c>
      <c r="H767" t="str">
        <f>""</f>
        <v/>
      </c>
      <c r="I767" t="str">
        <f t="shared" si="87"/>
        <v xml:space="preserve">                                                     </v>
      </c>
      <c r="J767" t="str">
        <f>""</f>
        <v/>
      </c>
    </row>
    <row r="768" spans="1:10">
      <c r="A768" s="1" t="str">
        <f t="shared" si="88"/>
        <v>3d7.(4F&lt;5/2&gt;).4f</v>
      </c>
      <c r="B768" t="str">
        <f>"2[5/2]*"</f>
        <v>2[5/2]*</v>
      </c>
      <c r="C768" t="str">
        <f>"3"</f>
        <v>3</v>
      </c>
      <c r="D768" t="str">
        <f>""</f>
        <v/>
      </c>
      <c r="E768" t="str">
        <f>"59679.235"</f>
        <v>59679.235</v>
      </c>
      <c r="F768" t="str">
        <f>""</f>
        <v/>
      </c>
      <c r="G768" t="str">
        <f>"0.002"</f>
        <v>0.002</v>
      </c>
      <c r="H768" t="str">
        <f>""</f>
        <v/>
      </c>
      <c r="I768" t="str">
        <f t="shared" si="87"/>
        <v xml:space="preserve">                                                     </v>
      </c>
      <c r="J768" t="str">
        <f>""</f>
        <v/>
      </c>
    </row>
    <row r="769" spans="1:10">
      <c r="A769" s="1" t="str">
        <f t="shared" si="88"/>
        <v>3d7.(4F&lt;5/2&gt;).4f</v>
      </c>
      <c r="B769" t="str">
        <f>"2[5/2]*"</f>
        <v>2[5/2]*</v>
      </c>
      <c r="C769" t="str">
        <f>"2"</f>
        <v>2</v>
      </c>
      <c r="D769" t="str">
        <f>""</f>
        <v/>
      </c>
      <c r="E769" t="str">
        <f>"59680.306"</f>
        <v>59680.306</v>
      </c>
      <c r="F769" t="str">
        <f>""</f>
        <v/>
      </c>
      <c r="G769" t="str">
        <f>"0.005"</f>
        <v>0.005</v>
      </c>
      <c r="H769" t="str">
        <f>""</f>
        <v/>
      </c>
      <c r="I769" t="str">
        <f t="shared" si="87"/>
        <v xml:space="preserve">                                                     </v>
      </c>
      <c r="J769" t="str">
        <f>""</f>
        <v/>
      </c>
    </row>
    <row r="770" spans="1:10">
      <c r="A770" s="1" t="str">
        <f t="shared" si="88"/>
        <v>3d7.(4F&lt;5/2&gt;).4f</v>
      </c>
      <c r="B770" t="str">
        <f>"2[11/2]*"</f>
        <v>2[11/2]*</v>
      </c>
      <c r="C770" t="str">
        <f>"5"</f>
        <v>5</v>
      </c>
      <c r="D770" t="str">
        <f>""</f>
        <v/>
      </c>
      <c r="E770" t="str">
        <f>"59682.173"</f>
        <v>59682.173</v>
      </c>
      <c r="F770" t="str">
        <f>""</f>
        <v/>
      </c>
      <c r="G770" t="str">
        <f>"0.004"</f>
        <v>0.004</v>
      </c>
      <c r="H770" t="str">
        <f>""</f>
        <v/>
      </c>
      <c r="I770" t="str">
        <f t="shared" si="87"/>
        <v xml:space="preserve">                                                     </v>
      </c>
      <c r="J770" t="str">
        <f>""</f>
        <v/>
      </c>
    </row>
    <row r="771" spans="1:10">
      <c r="A771" s="1" t="str">
        <f t="shared" si="88"/>
        <v>3d7.(4F&lt;5/2&gt;).4f</v>
      </c>
      <c r="B771" t="str">
        <f>"2[3/2]*"</f>
        <v>2[3/2]*</v>
      </c>
      <c r="C771" t="str">
        <f>"2"</f>
        <v>2</v>
      </c>
      <c r="D771" t="str">
        <f>""</f>
        <v/>
      </c>
      <c r="E771" t="str">
        <f>"59687.418"</f>
        <v>59687.418</v>
      </c>
      <c r="F771" t="str">
        <f>""</f>
        <v/>
      </c>
      <c r="G771" t="str">
        <f>"0.002"</f>
        <v>0.002</v>
      </c>
      <c r="H771" t="str">
        <f>""</f>
        <v/>
      </c>
      <c r="I771" t="str">
        <f t="shared" si="87"/>
        <v xml:space="preserve">                                                     </v>
      </c>
      <c r="J771" t="str">
        <f>""</f>
        <v/>
      </c>
    </row>
    <row r="772" spans="1:10">
      <c r="A772" s="1" t="str">
        <f t="shared" ref="A772:A785" si="89">"3d6.4s.(6D&lt;7/2&gt;).5g"</f>
        <v>3d6.4s.(6D&lt;7/2&gt;).5g</v>
      </c>
      <c r="B772" t="str">
        <f>"2[11/2]"</f>
        <v>2[11/2]</v>
      </c>
      <c r="C772" t="str">
        <f>"5"</f>
        <v>5</v>
      </c>
      <c r="D772" t="str">
        <f>""</f>
        <v/>
      </c>
      <c r="E772" t="str">
        <f>"59716.796"</f>
        <v>59716.796</v>
      </c>
      <c r="F772" t="str">
        <f>""</f>
        <v/>
      </c>
      <c r="G772" t="str">
        <f>"0.003"</f>
        <v>0.003</v>
      </c>
      <c r="H772" t="str">
        <f>""</f>
        <v/>
      </c>
      <c r="I772" t="str">
        <f t="shared" si="87"/>
        <v xml:space="preserve">                                                     </v>
      </c>
      <c r="J772" t="str">
        <f>""</f>
        <v/>
      </c>
    </row>
    <row r="773" spans="1:10">
      <c r="A773" s="1" t="str">
        <f t="shared" si="89"/>
        <v>3d6.4s.(6D&lt;7/2&gt;).5g</v>
      </c>
      <c r="B773" t="str">
        <f>"2[11/2]"</f>
        <v>2[11/2]</v>
      </c>
      <c r="C773" t="str">
        <f>"6"</f>
        <v>6</v>
      </c>
      <c r="D773" t="str">
        <f>""</f>
        <v/>
      </c>
      <c r="E773" t="str">
        <f>"59716.797"</f>
        <v>59716.797</v>
      </c>
      <c r="F773" t="str">
        <f>""</f>
        <v/>
      </c>
      <c r="G773" t="str">
        <f>"0.004"</f>
        <v>0.004</v>
      </c>
      <c r="H773" t="str">
        <f>""</f>
        <v/>
      </c>
      <c r="I773" t="str">
        <f t="shared" si="87"/>
        <v xml:space="preserve">                                                     </v>
      </c>
      <c r="J773" t="str">
        <f>""</f>
        <v/>
      </c>
    </row>
    <row r="774" spans="1:10">
      <c r="A774" s="1" t="str">
        <f t="shared" si="89"/>
        <v>3d6.4s.(6D&lt;7/2&gt;).5g</v>
      </c>
      <c r="B774" t="str">
        <f>"2[9/2]"</f>
        <v>2[9/2]</v>
      </c>
      <c r="C774" t="str">
        <f>"5"</f>
        <v>5</v>
      </c>
      <c r="D774" t="str">
        <f>""</f>
        <v/>
      </c>
      <c r="E774" t="str">
        <f>"59716.940"</f>
        <v>59716.940</v>
      </c>
      <c r="F774" t="str">
        <f>""</f>
        <v/>
      </c>
      <c r="G774" t="str">
        <f>"0.004"</f>
        <v>0.004</v>
      </c>
      <c r="H774" t="str">
        <f>""</f>
        <v/>
      </c>
      <c r="I774" t="str">
        <f t="shared" si="87"/>
        <v xml:space="preserve">                                                     </v>
      </c>
      <c r="J774" t="str">
        <f>""</f>
        <v/>
      </c>
    </row>
    <row r="775" spans="1:10">
      <c r="A775" s="1" t="str">
        <f t="shared" si="89"/>
        <v>3d6.4s.(6D&lt;7/2&gt;).5g</v>
      </c>
      <c r="B775" t="str">
        <f>"2[9/2]"</f>
        <v>2[9/2]</v>
      </c>
      <c r="C775" t="str">
        <f>"4"</f>
        <v>4</v>
      </c>
      <c r="D775" t="str">
        <f>""</f>
        <v/>
      </c>
      <c r="E775" t="str">
        <f>"59716.948"</f>
        <v>59716.948</v>
      </c>
      <c r="F775" t="str">
        <f>""</f>
        <v/>
      </c>
      <c r="G775" t="str">
        <f>"0.004"</f>
        <v>0.004</v>
      </c>
      <c r="H775" t="str">
        <f>""</f>
        <v/>
      </c>
      <c r="I775" t="str">
        <f t="shared" si="87"/>
        <v xml:space="preserve">                                                     </v>
      </c>
      <c r="J775" t="str">
        <f>""</f>
        <v/>
      </c>
    </row>
    <row r="776" spans="1:10">
      <c r="A776" s="1" t="str">
        <f t="shared" si="89"/>
        <v>3d6.4s.(6D&lt;7/2&gt;).5g</v>
      </c>
      <c r="B776" t="str">
        <f>"2[13/2]"</f>
        <v>2[13/2]</v>
      </c>
      <c r="C776" t="str">
        <f>"6"</f>
        <v>6</v>
      </c>
      <c r="D776" t="str">
        <f>""</f>
        <v/>
      </c>
      <c r="E776" t="str">
        <f>"59717.083"</f>
        <v>59717.083</v>
      </c>
      <c r="F776" t="str">
        <f>""</f>
        <v/>
      </c>
      <c r="G776" t="str">
        <f>"0.004"</f>
        <v>0.004</v>
      </c>
      <c r="H776" t="str">
        <f>""</f>
        <v/>
      </c>
      <c r="I776" t="str">
        <f t="shared" si="87"/>
        <v xml:space="preserve">                                                     </v>
      </c>
      <c r="J776" t="str">
        <f>""</f>
        <v/>
      </c>
    </row>
    <row r="777" spans="1:10">
      <c r="A777" s="1" t="str">
        <f t="shared" si="89"/>
        <v>3d6.4s.(6D&lt;7/2&gt;).5g</v>
      </c>
      <c r="B777" t="str">
        <f>"2[13/2]"</f>
        <v>2[13/2]</v>
      </c>
      <c r="C777" t="str">
        <f>"7"</f>
        <v>7</v>
      </c>
      <c r="D777" t="str">
        <f>""</f>
        <v/>
      </c>
      <c r="E777" t="str">
        <f>"59717.088"</f>
        <v>59717.088</v>
      </c>
      <c r="F777" t="str">
        <f>""</f>
        <v/>
      </c>
      <c r="G777" t="str">
        <f>"0.005"</f>
        <v>0.005</v>
      </c>
      <c r="H777" t="str">
        <f>""</f>
        <v/>
      </c>
      <c r="I777" t="str">
        <f t="shared" si="87"/>
        <v xml:space="preserve">                                                     </v>
      </c>
      <c r="J777" t="str">
        <f>""</f>
        <v/>
      </c>
    </row>
    <row r="778" spans="1:10">
      <c r="A778" s="1" t="str">
        <f t="shared" si="89"/>
        <v>3d6.4s.(6D&lt;7/2&gt;).5g</v>
      </c>
      <c r="B778" t="str">
        <f>"2[7/2]"</f>
        <v>2[7/2]</v>
      </c>
      <c r="C778" t="str">
        <f>"3"</f>
        <v>3</v>
      </c>
      <c r="D778" t="str">
        <f>""</f>
        <v/>
      </c>
      <c r="E778" t="str">
        <f>"59717.321"</f>
        <v>59717.321</v>
      </c>
      <c r="F778" t="str">
        <f>""</f>
        <v/>
      </c>
      <c r="G778" t="str">
        <f>"0.004"</f>
        <v>0.004</v>
      </c>
      <c r="H778" t="str">
        <f>""</f>
        <v/>
      </c>
      <c r="I778" t="str">
        <f t="shared" si="87"/>
        <v xml:space="preserve">                                                     </v>
      </c>
      <c r="J778" t="str">
        <f>""</f>
        <v/>
      </c>
    </row>
    <row r="779" spans="1:10">
      <c r="A779" s="1" t="str">
        <f t="shared" si="89"/>
        <v>3d6.4s.(6D&lt;7/2&gt;).5g</v>
      </c>
      <c r="B779" t="str">
        <f>"2[7/2]"</f>
        <v>2[7/2]</v>
      </c>
      <c r="C779" t="str">
        <f>"4"</f>
        <v>4</v>
      </c>
      <c r="D779" t="str">
        <f>""</f>
        <v/>
      </c>
      <c r="E779" t="str">
        <f>"59717.329"</f>
        <v>59717.329</v>
      </c>
      <c r="F779" t="str">
        <f>""</f>
        <v/>
      </c>
      <c r="G779" t="str">
        <f>"0.004"</f>
        <v>0.004</v>
      </c>
      <c r="H779" t="str">
        <f>""</f>
        <v/>
      </c>
      <c r="I779" t="str">
        <f t="shared" si="87"/>
        <v xml:space="preserve">                                                     </v>
      </c>
      <c r="J779" t="str">
        <f>""</f>
        <v/>
      </c>
    </row>
    <row r="780" spans="1:10">
      <c r="A780" s="1" t="str">
        <f t="shared" si="89"/>
        <v>3d6.4s.(6D&lt;7/2&gt;).5g</v>
      </c>
      <c r="B780" t="str">
        <f>"2[5/2]"</f>
        <v>2[5/2]</v>
      </c>
      <c r="C780" t="str">
        <f>"2"</f>
        <v>2</v>
      </c>
      <c r="D780" t="str">
        <f>""</f>
        <v/>
      </c>
      <c r="E780" t="str">
        <f>"59717.763"</f>
        <v>59717.763</v>
      </c>
      <c r="F780" t="str">
        <f>""</f>
        <v/>
      </c>
      <c r="G780" t="str">
        <f>"0.004"</f>
        <v>0.004</v>
      </c>
      <c r="H780" t="str">
        <f>""</f>
        <v/>
      </c>
      <c r="I780" t="str">
        <f t="shared" si="87"/>
        <v xml:space="preserve">                                                     </v>
      </c>
      <c r="J780" t="str">
        <f>""</f>
        <v/>
      </c>
    </row>
    <row r="781" spans="1:10">
      <c r="A781" s="1" t="str">
        <f t="shared" si="89"/>
        <v>3d6.4s.(6D&lt;7/2&gt;).5g</v>
      </c>
      <c r="B781" t="str">
        <f>"2[5/2]"</f>
        <v>2[5/2]</v>
      </c>
      <c r="C781" t="str">
        <f>"3"</f>
        <v>3</v>
      </c>
      <c r="D781" t="str">
        <f>""</f>
        <v/>
      </c>
      <c r="E781" t="str">
        <f>"59717.768"</f>
        <v>59717.768</v>
      </c>
      <c r="F781" t="str">
        <f>""</f>
        <v/>
      </c>
      <c r="G781" t="str">
        <f>"0.004"</f>
        <v>0.004</v>
      </c>
      <c r="H781" t="str">
        <f>""</f>
        <v/>
      </c>
      <c r="I781" t="str">
        <f t="shared" si="87"/>
        <v xml:space="preserve">                                                     </v>
      </c>
      <c r="J781" t="str">
        <f>""</f>
        <v/>
      </c>
    </row>
    <row r="782" spans="1:10">
      <c r="A782" s="1" t="str">
        <f t="shared" si="89"/>
        <v>3d6.4s.(6D&lt;7/2&gt;).5g</v>
      </c>
      <c r="B782" t="str">
        <f>"2[15/2]"</f>
        <v>2[15/2]</v>
      </c>
      <c r="C782" t="str">
        <f>"7"</f>
        <v>7</v>
      </c>
      <c r="D782" t="str">
        <f>""</f>
        <v/>
      </c>
      <c r="E782" t="str">
        <f>"59717.944"</f>
        <v>59717.944</v>
      </c>
      <c r="F782" t="str">
        <f>""</f>
        <v/>
      </c>
      <c r="G782" t="str">
        <f>"0.01"</f>
        <v>0.01</v>
      </c>
      <c r="H782" t="str">
        <f>""</f>
        <v/>
      </c>
      <c r="I782" t="str">
        <f t="shared" si="87"/>
        <v xml:space="preserve">                                                     </v>
      </c>
      <c r="J782" t="str">
        <f>""</f>
        <v/>
      </c>
    </row>
    <row r="783" spans="1:10">
      <c r="A783" s="1" t="str">
        <f t="shared" si="89"/>
        <v>3d6.4s.(6D&lt;7/2&gt;).5g</v>
      </c>
      <c r="B783" t="str">
        <f>"2[15/2]"</f>
        <v>2[15/2]</v>
      </c>
      <c r="C783" t="str">
        <f>"8"</f>
        <v>8</v>
      </c>
      <c r="D783" t="str">
        <f>""</f>
        <v/>
      </c>
      <c r="E783" t="str">
        <f>"59717.945"</f>
        <v>59717.945</v>
      </c>
      <c r="F783" t="str">
        <f>""</f>
        <v/>
      </c>
      <c r="G783" t="str">
        <f>"0.007"</f>
        <v>0.007</v>
      </c>
      <c r="H783" t="str">
        <f>""</f>
        <v/>
      </c>
      <c r="I783" t="str">
        <f t="shared" si="87"/>
        <v xml:space="preserve">                                                     </v>
      </c>
      <c r="J783" t="str">
        <f>""</f>
        <v/>
      </c>
    </row>
    <row r="784" spans="1:10">
      <c r="A784" s="1" t="str">
        <f t="shared" si="89"/>
        <v>3d6.4s.(6D&lt;7/2&gt;).5g</v>
      </c>
      <c r="B784" t="str">
        <f>"2[3/2]"</f>
        <v>2[3/2]</v>
      </c>
      <c r="C784" t="str">
        <f>"1"</f>
        <v>1</v>
      </c>
      <c r="D784" t="str">
        <f>""</f>
        <v/>
      </c>
      <c r="E784" t="str">
        <f>"59718.134"</f>
        <v>59718.134</v>
      </c>
      <c r="F784" t="str">
        <f>""</f>
        <v/>
      </c>
      <c r="G784" t="str">
        <f>"0.015"</f>
        <v>0.015</v>
      </c>
      <c r="H784" t="str">
        <f>""</f>
        <v/>
      </c>
      <c r="I784" t="str">
        <f t="shared" ref="I784:I817" si="90">"                                                     "</f>
        <v xml:space="preserve">                                                     </v>
      </c>
      <c r="J784" t="str">
        <f>""</f>
        <v/>
      </c>
    </row>
    <row r="785" spans="1:10">
      <c r="A785" s="1" t="str">
        <f t="shared" si="89"/>
        <v>3d6.4s.(6D&lt;7/2&gt;).5g</v>
      </c>
      <c r="B785" t="str">
        <f>"2[3/2]"</f>
        <v>2[3/2]</v>
      </c>
      <c r="C785" t="str">
        <f>"2"</f>
        <v>2</v>
      </c>
      <c r="D785" t="str">
        <f>""</f>
        <v/>
      </c>
      <c r="E785" t="str">
        <f>"59718.134"</f>
        <v>59718.134</v>
      </c>
      <c r="F785" t="str">
        <f>""</f>
        <v/>
      </c>
      <c r="G785" t="str">
        <f>"0.013"</f>
        <v>0.013</v>
      </c>
      <c r="H785" t="str">
        <f>""</f>
        <v/>
      </c>
      <c r="I785" t="str">
        <f t="shared" si="90"/>
        <v xml:space="preserve">                                                     </v>
      </c>
      <c r="J785" t="str">
        <f>""</f>
        <v/>
      </c>
    </row>
    <row r="786" spans="1:10">
      <c r="A786" s="1" t="str">
        <f t="shared" ref="A786:A794" si="91">"3d6.4s.(6D&lt;5/2&gt;).6d"</f>
        <v>3d6.4s.(6D&lt;5/2&gt;).6d</v>
      </c>
      <c r="B786" t="str">
        <f>"2[9/2]"</f>
        <v>2[9/2]</v>
      </c>
      <c r="C786" t="str">
        <f>"5"</f>
        <v>5</v>
      </c>
      <c r="D786" t="str">
        <f>""</f>
        <v/>
      </c>
      <c r="E786" t="str">
        <f>"59718.724"</f>
        <v>59718.724</v>
      </c>
      <c r="F786" t="str">
        <f>""</f>
        <v/>
      </c>
      <c r="G786" t="str">
        <f>"0.01"</f>
        <v>0.01</v>
      </c>
      <c r="H786" t="str">
        <f>""</f>
        <v/>
      </c>
      <c r="I786" t="str">
        <f t="shared" si="90"/>
        <v xml:space="preserve">                                                     </v>
      </c>
      <c r="J786" t="str">
        <f>""</f>
        <v/>
      </c>
    </row>
    <row r="787" spans="1:10">
      <c r="A787" s="1" t="str">
        <f t="shared" si="91"/>
        <v>3d6.4s.(6D&lt;5/2&gt;).6d</v>
      </c>
      <c r="B787" t="str">
        <f>"2[9/2]"</f>
        <v>2[9/2]</v>
      </c>
      <c r="C787" t="str">
        <f>"4"</f>
        <v>4</v>
      </c>
      <c r="D787" t="str">
        <f>""</f>
        <v/>
      </c>
      <c r="E787" t="str">
        <f>"59725.904"</f>
        <v>59725.904</v>
      </c>
      <c r="F787" t="str">
        <f>""</f>
        <v/>
      </c>
      <c r="G787" t="str">
        <f>"0.013"</f>
        <v>0.013</v>
      </c>
      <c r="H787" t="str">
        <f>""</f>
        <v/>
      </c>
      <c r="I787" t="str">
        <f t="shared" si="90"/>
        <v xml:space="preserve">                                                     </v>
      </c>
      <c r="J787" t="str">
        <f>""</f>
        <v/>
      </c>
    </row>
    <row r="788" spans="1:10">
      <c r="A788" s="1" t="str">
        <f t="shared" si="91"/>
        <v>3d6.4s.(6D&lt;5/2&gt;).6d</v>
      </c>
      <c r="B788" t="str">
        <f>"2[1/2]"</f>
        <v>2[1/2]</v>
      </c>
      <c r="C788" t="str">
        <f>"1"</f>
        <v>1</v>
      </c>
      <c r="D788" t="str">
        <f>""</f>
        <v/>
      </c>
      <c r="E788" t="str">
        <f>"59729.17"</f>
        <v>59729.17</v>
      </c>
      <c r="F788" t="str">
        <f>""</f>
        <v/>
      </c>
      <c r="G788" t="str">
        <f>"0.03"</f>
        <v>0.03</v>
      </c>
      <c r="H788" t="str">
        <f>""</f>
        <v/>
      </c>
      <c r="I788" t="str">
        <f t="shared" si="90"/>
        <v xml:space="preserve">                                                     </v>
      </c>
      <c r="J788" t="str">
        <f>""</f>
        <v/>
      </c>
    </row>
    <row r="789" spans="1:10">
      <c r="A789" s="1" t="str">
        <f t="shared" si="91"/>
        <v>3d6.4s.(6D&lt;5/2&gt;).6d</v>
      </c>
      <c r="B789" t="str">
        <f>"2[3/2]"</f>
        <v>2[3/2]</v>
      </c>
      <c r="C789" t="str">
        <f>"1"</f>
        <v>1</v>
      </c>
      <c r="D789" t="str">
        <f>""</f>
        <v/>
      </c>
      <c r="E789" t="str">
        <f>"59766.92"</f>
        <v>59766.92</v>
      </c>
      <c r="F789" t="str">
        <f>""</f>
        <v/>
      </c>
      <c r="G789" t="str">
        <f>"0.02"</f>
        <v>0.02</v>
      </c>
      <c r="H789" t="str">
        <f>""</f>
        <v/>
      </c>
      <c r="I789" t="str">
        <f t="shared" si="90"/>
        <v xml:space="preserve">                                                     </v>
      </c>
      <c r="J789" t="str">
        <f>""</f>
        <v/>
      </c>
    </row>
    <row r="790" spans="1:10">
      <c r="A790" s="1" t="str">
        <f t="shared" si="91"/>
        <v>3d6.4s.(6D&lt;5/2&gt;).6d</v>
      </c>
      <c r="B790" t="str">
        <f>"2[3/2]"</f>
        <v>2[3/2]</v>
      </c>
      <c r="C790" t="str">
        <f>"2"</f>
        <v>2</v>
      </c>
      <c r="D790" t="str">
        <f>""</f>
        <v/>
      </c>
      <c r="E790" t="str">
        <f>"59780.484"</f>
        <v>59780.484</v>
      </c>
      <c r="F790" t="str">
        <f>""</f>
        <v/>
      </c>
      <c r="G790" t="str">
        <f>"0.01"</f>
        <v>0.01</v>
      </c>
      <c r="H790" t="str">
        <f>""</f>
        <v/>
      </c>
      <c r="I790" t="str">
        <f t="shared" si="90"/>
        <v xml:space="preserve">                                                     </v>
      </c>
      <c r="J790" t="str">
        <f>""</f>
        <v/>
      </c>
    </row>
    <row r="791" spans="1:10">
      <c r="A791" s="1" t="str">
        <f t="shared" si="91"/>
        <v>3d6.4s.(6D&lt;5/2&gt;).6d</v>
      </c>
      <c r="B791" t="str">
        <f>"2[5/2]"</f>
        <v>2[5/2]</v>
      </c>
      <c r="C791" t="str">
        <f>"3"</f>
        <v>3</v>
      </c>
      <c r="D791" t="str">
        <f>""</f>
        <v/>
      </c>
      <c r="E791" t="str">
        <f>"59820.664"</f>
        <v>59820.664</v>
      </c>
      <c r="F791" t="str">
        <f>""</f>
        <v/>
      </c>
      <c r="G791" t="str">
        <f>"0.017"</f>
        <v>0.017</v>
      </c>
      <c r="H791" t="str">
        <f>""</f>
        <v/>
      </c>
      <c r="I791" t="str">
        <f t="shared" si="90"/>
        <v xml:space="preserve">                                                     </v>
      </c>
      <c r="J791" t="str">
        <f>""</f>
        <v/>
      </c>
    </row>
    <row r="792" spans="1:10">
      <c r="A792" s="1" t="str">
        <f t="shared" si="91"/>
        <v>3d6.4s.(6D&lt;5/2&gt;).6d</v>
      </c>
      <c r="B792" t="str">
        <f>"2[5/2]"</f>
        <v>2[5/2]</v>
      </c>
      <c r="C792" t="str">
        <f>"2"</f>
        <v>2</v>
      </c>
      <c r="D792" t="str">
        <f>""</f>
        <v/>
      </c>
      <c r="E792" t="str">
        <f>"59843.564"</f>
        <v>59843.564</v>
      </c>
      <c r="F792" t="str">
        <f>""</f>
        <v/>
      </c>
      <c r="G792" t="str">
        <f>"0.014"</f>
        <v>0.014</v>
      </c>
      <c r="H792" t="str">
        <f>""</f>
        <v/>
      </c>
      <c r="I792" t="str">
        <f t="shared" si="90"/>
        <v xml:space="preserve">                                                     </v>
      </c>
      <c r="J792" t="str">
        <f>""</f>
        <v/>
      </c>
    </row>
    <row r="793" spans="1:10">
      <c r="A793" s="1" t="str">
        <f t="shared" si="91"/>
        <v>3d6.4s.(6D&lt;5/2&gt;).6d</v>
      </c>
      <c r="B793" t="str">
        <f>"2[7/2]"</f>
        <v>2[7/2]</v>
      </c>
      <c r="C793" t="str">
        <f>"4"</f>
        <v>4</v>
      </c>
      <c r="D793" t="str">
        <f>""</f>
        <v/>
      </c>
      <c r="E793" t="str">
        <f>"59878.64"</f>
        <v>59878.64</v>
      </c>
      <c r="F793" t="str">
        <f>""</f>
        <v/>
      </c>
      <c r="G793" t="str">
        <f>"0.04"</f>
        <v>0.04</v>
      </c>
      <c r="H793" t="str">
        <f>""</f>
        <v/>
      </c>
      <c r="I793" t="str">
        <f t="shared" si="90"/>
        <v xml:space="preserve">                                                     </v>
      </c>
      <c r="J793" t="str">
        <f>""</f>
        <v/>
      </c>
    </row>
    <row r="794" spans="1:10">
      <c r="A794" s="1" t="str">
        <f t="shared" si="91"/>
        <v>3d6.4s.(6D&lt;5/2&gt;).6d</v>
      </c>
      <c r="B794" t="str">
        <f>"2[7/2]"</f>
        <v>2[7/2]</v>
      </c>
      <c r="C794" t="str">
        <f>"3"</f>
        <v>3</v>
      </c>
      <c r="D794" t="str">
        <f>""</f>
        <v/>
      </c>
      <c r="E794" t="str">
        <f>"59886.70"</f>
        <v>59886.70</v>
      </c>
      <c r="F794" t="str">
        <f>""</f>
        <v/>
      </c>
      <c r="G794" t="str">
        <f>"0.03"</f>
        <v>0.03</v>
      </c>
      <c r="H794" t="str">
        <f>""</f>
        <v/>
      </c>
      <c r="I794" t="str">
        <f t="shared" si="90"/>
        <v xml:space="preserve">                                                     </v>
      </c>
      <c r="J794" t="str">
        <f>""</f>
        <v/>
      </c>
    </row>
    <row r="795" spans="1:10">
      <c r="A795" s="1" t="str">
        <f t="shared" ref="A795:A800" si="92">"3d7.(4F&lt;3/2&gt;).4f"</f>
        <v>3d7.(4F&lt;3/2&gt;).4f</v>
      </c>
      <c r="B795" t="str">
        <f>"2[7/2]*"</f>
        <v>2[7/2]*</v>
      </c>
      <c r="C795" t="str">
        <f>"4"</f>
        <v>4</v>
      </c>
      <c r="D795" t="str">
        <f>""</f>
        <v/>
      </c>
      <c r="E795" t="str">
        <f>"59947.023"</f>
        <v>59947.023</v>
      </c>
      <c r="F795" t="str">
        <f>""</f>
        <v/>
      </c>
      <c r="G795" t="str">
        <f>"0.002"</f>
        <v>0.002</v>
      </c>
      <c r="H795" t="str">
        <f>""</f>
        <v/>
      </c>
      <c r="I795" t="str">
        <f t="shared" si="90"/>
        <v xml:space="preserve">                                                     </v>
      </c>
      <c r="J795" t="str">
        <f>""</f>
        <v/>
      </c>
    </row>
    <row r="796" spans="1:10">
      <c r="A796" s="1" t="str">
        <f t="shared" si="92"/>
        <v>3d7.(4F&lt;3/2&gt;).4f</v>
      </c>
      <c r="B796" t="str">
        <f>"2[7/2]*"</f>
        <v>2[7/2]*</v>
      </c>
      <c r="C796" t="str">
        <f>"3"</f>
        <v>3</v>
      </c>
      <c r="D796" t="str">
        <f>""</f>
        <v/>
      </c>
      <c r="E796" t="str">
        <f>"59947.324"</f>
        <v>59947.324</v>
      </c>
      <c r="F796" t="str">
        <f>""</f>
        <v/>
      </c>
      <c r="G796" t="str">
        <f>"0.003"</f>
        <v>0.003</v>
      </c>
      <c r="H796" t="str">
        <f>""</f>
        <v/>
      </c>
      <c r="I796" t="str">
        <f t="shared" si="90"/>
        <v xml:space="preserve">                                                     </v>
      </c>
      <c r="J796" t="str">
        <f>""</f>
        <v/>
      </c>
    </row>
    <row r="797" spans="1:10">
      <c r="A797" s="1" t="str">
        <f t="shared" si="92"/>
        <v>3d7.(4F&lt;3/2&gt;).4f</v>
      </c>
      <c r="B797" t="str">
        <f>"2[5/2]*"</f>
        <v>2[5/2]*</v>
      </c>
      <c r="C797" t="str">
        <f>"2"</f>
        <v>2</v>
      </c>
      <c r="D797" t="str">
        <f>""</f>
        <v/>
      </c>
      <c r="E797" t="str">
        <f>"59947.766"</f>
        <v>59947.766</v>
      </c>
      <c r="F797" t="str">
        <f>""</f>
        <v/>
      </c>
      <c r="G797" t="str">
        <f>"0.003"</f>
        <v>0.003</v>
      </c>
      <c r="H797" t="str">
        <f>""</f>
        <v/>
      </c>
      <c r="I797" t="str">
        <f t="shared" si="90"/>
        <v xml:space="preserve">                                                     </v>
      </c>
      <c r="J797" t="str">
        <f>""</f>
        <v/>
      </c>
    </row>
    <row r="798" spans="1:10">
      <c r="A798" s="1" t="str">
        <f t="shared" si="92"/>
        <v>3d7.(4F&lt;3/2&gt;).4f</v>
      </c>
      <c r="B798" t="str">
        <f>"2[5/2]*"</f>
        <v>2[5/2]*</v>
      </c>
      <c r="C798" t="str">
        <f>"3"</f>
        <v>3</v>
      </c>
      <c r="D798" t="str">
        <f>""</f>
        <v/>
      </c>
      <c r="E798" t="str">
        <f>"59952.533"</f>
        <v>59952.533</v>
      </c>
      <c r="F798" t="str">
        <f>""</f>
        <v/>
      </c>
      <c r="G798" t="str">
        <f>"0.003"</f>
        <v>0.003</v>
      </c>
      <c r="H798" t="str">
        <f>""</f>
        <v/>
      </c>
      <c r="I798" t="str">
        <f t="shared" si="90"/>
        <v xml:space="preserve">                                                     </v>
      </c>
      <c r="J798" t="str">
        <f>""</f>
        <v/>
      </c>
    </row>
    <row r="799" spans="1:10">
      <c r="A799" s="1" t="str">
        <f t="shared" si="92"/>
        <v>3d7.(4F&lt;3/2&gt;).4f</v>
      </c>
      <c r="B799" t="str">
        <f>"2[9/2]*"</f>
        <v>2[9/2]*</v>
      </c>
      <c r="C799" t="str">
        <f>"5"</f>
        <v>5</v>
      </c>
      <c r="D799" t="str">
        <f>""</f>
        <v/>
      </c>
      <c r="E799" t="str">
        <f>"59960.482"</f>
        <v>59960.482</v>
      </c>
      <c r="F799" t="str">
        <f>""</f>
        <v/>
      </c>
      <c r="G799" t="str">
        <f>"0.002"</f>
        <v>0.002</v>
      </c>
      <c r="H799" t="str">
        <f>""</f>
        <v/>
      </c>
      <c r="I799" t="str">
        <f t="shared" si="90"/>
        <v xml:space="preserve">                                                     </v>
      </c>
      <c r="J799" t="str">
        <f>""</f>
        <v/>
      </c>
    </row>
    <row r="800" spans="1:10">
      <c r="A800" s="1" t="str">
        <f t="shared" si="92"/>
        <v>3d7.(4F&lt;3/2&gt;).4f</v>
      </c>
      <c r="B800" t="str">
        <f>"2[9/2]*"</f>
        <v>2[9/2]*</v>
      </c>
      <c r="C800" t="str">
        <f>"4"</f>
        <v>4</v>
      </c>
      <c r="D800" t="str">
        <f>""</f>
        <v/>
      </c>
      <c r="E800" t="str">
        <f>"59960.956"</f>
        <v>59960.956</v>
      </c>
      <c r="F800" t="str">
        <f>""</f>
        <v/>
      </c>
      <c r="G800" t="str">
        <f>"0.003"</f>
        <v>0.003</v>
      </c>
      <c r="H800" t="str">
        <f>""</f>
        <v/>
      </c>
      <c r="I800" t="str">
        <f t="shared" si="90"/>
        <v xml:space="preserve">                                                     </v>
      </c>
      <c r="J800" t="str">
        <f>""</f>
        <v/>
      </c>
    </row>
    <row r="801" spans="1:10">
      <c r="A801" s="1" t="str">
        <f>"3d6.4s.(6D&lt;3/2&gt;).6d"</f>
        <v>3d6.4s.(6D&lt;3/2&gt;).6d</v>
      </c>
      <c r="B801" t="str">
        <f>"2[1/2]"</f>
        <v>2[1/2]</v>
      </c>
      <c r="C801" t="str">
        <f>"1"</f>
        <v>1</v>
      </c>
      <c r="D801" t="str">
        <f>""</f>
        <v/>
      </c>
      <c r="E801" t="str">
        <f>"59968.52"</f>
        <v>59968.52</v>
      </c>
      <c r="F801" t="str">
        <f>""</f>
        <v/>
      </c>
      <c r="G801" t="str">
        <f>"0.02"</f>
        <v>0.02</v>
      </c>
      <c r="H801" t="str">
        <f>""</f>
        <v/>
      </c>
      <c r="I801" t="str">
        <f t="shared" si="90"/>
        <v xml:space="preserve">                                                     </v>
      </c>
      <c r="J801" t="str">
        <f>""</f>
        <v/>
      </c>
    </row>
    <row r="802" spans="1:10">
      <c r="A802" s="1" t="str">
        <f t="shared" ref="A802:A807" si="93">"3d6.4s.(6D&lt;5/2&gt;).5g"</f>
        <v>3d6.4s.(6D&lt;5/2&gt;).5g</v>
      </c>
      <c r="B802" t="str">
        <f>"2[3/2]"</f>
        <v>2[3/2]</v>
      </c>
      <c r="C802" t="str">
        <f>"2"</f>
        <v>2</v>
      </c>
      <c r="D802" t="str">
        <f>""</f>
        <v/>
      </c>
      <c r="E802" t="str">
        <f>"59998.128"</f>
        <v>59998.128</v>
      </c>
      <c r="F802" t="str">
        <f>""</f>
        <v/>
      </c>
      <c r="G802" t="str">
        <f>"0.005"</f>
        <v>0.005</v>
      </c>
      <c r="H802" t="str">
        <f>""</f>
        <v/>
      </c>
      <c r="I802" t="str">
        <f t="shared" si="90"/>
        <v xml:space="preserve">                                                     </v>
      </c>
      <c r="J802" t="str">
        <f>""</f>
        <v/>
      </c>
    </row>
    <row r="803" spans="1:10">
      <c r="A803" s="1" t="str">
        <f t="shared" si="93"/>
        <v>3d6.4s.(6D&lt;5/2&gt;).5g</v>
      </c>
      <c r="B803" t="str">
        <f>"2[3/2]"</f>
        <v>2[3/2]</v>
      </c>
      <c r="C803" t="str">
        <f>"1"</f>
        <v>1</v>
      </c>
      <c r="D803" t="str">
        <f>""</f>
        <v/>
      </c>
      <c r="E803" t="str">
        <f>"59998.132"</f>
        <v>59998.132</v>
      </c>
      <c r="F803" t="str">
        <f>""</f>
        <v/>
      </c>
      <c r="G803" t="str">
        <f>"0.014"</f>
        <v>0.014</v>
      </c>
      <c r="H803" t="str">
        <f>""</f>
        <v/>
      </c>
      <c r="I803" t="str">
        <f t="shared" si="90"/>
        <v xml:space="preserve">                                                     </v>
      </c>
      <c r="J803" t="str">
        <f>""</f>
        <v/>
      </c>
    </row>
    <row r="804" spans="1:10">
      <c r="A804" s="1" t="str">
        <f t="shared" si="93"/>
        <v>3d6.4s.(6D&lt;5/2&gt;).5g</v>
      </c>
      <c r="B804" t="str">
        <f>"2[13/2]"</f>
        <v>2[13/2]</v>
      </c>
      <c r="C804" t="str">
        <f>"6"</f>
        <v>6</v>
      </c>
      <c r="D804" t="str">
        <f>""</f>
        <v/>
      </c>
      <c r="E804" t="str">
        <f>"59999.210"</f>
        <v>59999.210</v>
      </c>
      <c r="F804" t="str">
        <f>""</f>
        <v/>
      </c>
      <c r="G804" t="str">
        <f>"0.004"</f>
        <v>0.004</v>
      </c>
      <c r="H804" t="str">
        <f>""</f>
        <v/>
      </c>
      <c r="I804" t="str">
        <f t="shared" si="90"/>
        <v xml:space="preserve">                                                     </v>
      </c>
      <c r="J804" t="str">
        <f>""</f>
        <v/>
      </c>
    </row>
    <row r="805" spans="1:10">
      <c r="A805" s="1" t="str">
        <f t="shared" si="93"/>
        <v>3d6.4s.(6D&lt;5/2&gt;).5g</v>
      </c>
      <c r="B805" t="str">
        <f>"2[13/2]"</f>
        <v>2[13/2]</v>
      </c>
      <c r="C805" t="str">
        <f>"7"</f>
        <v>7</v>
      </c>
      <c r="D805" t="str">
        <f>""</f>
        <v/>
      </c>
      <c r="E805" t="str">
        <f>"59999.215"</f>
        <v>59999.215</v>
      </c>
      <c r="F805" t="str">
        <f>""</f>
        <v/>
      </c>
      <c r="G805" t="str">
        <f>"0.007"</f>
        <v>0.007</v>
      </c>
      <c r="H805" t="str">
        <f>""</f>
        <v/>
      </c>
      <c r="I805" t="str">
        <f t="shared" si="90"/>
        <v xml:space="preserve">                                                     </v>
      </c>
      <c r="J805" t="str">
        <f>""</f>
        <v/>
      </c>
    </row>
    <row r="806" spans="1:10">
      <c r="A806" s="1" t="str">
        <f t="shared" si="93"/>
        <v>3d6.4s.(6D&lt;5/2&gt;).5g</v>
      </c>
      <c r="B806" t="str">
        <f>"2[5/2]"</f>
        <v>2[5/2]</v>
      </c>
      <c r="C806" t="str">
        <f>"2"</f>
        <v>2</v>
      </c>
      <c r="D806" t="str">
        <f>""</f>
        <v/>
      </c>
      <c r="E806" t="str">
        <f>"59999.394"</f>
        <v>59999.394</v>
      </c>
      <c r="F806" t="str">
        <f>""</f>
        <v/>
      </c>
      <c r="G806" t="str">
        <f>"0.006"</f>
        <v>0.006</v>
      </c>
      <c r="H806" t="str">
        <f>""</f>
        <v/>
      </c>
      <c r="I806" t="str">
        <f t="shared" si="90"/>
        <v xml:space="preserve">                                                     </v>
      </c>
      <c r="J806" t="str">
        <f>""</f>
        <v/>
      </c>
    </row>
    <row r="807" spans="1:10">
      <c r="A807" s="1" t="str">
        <f t="shared" si="93"/>
        <v>3d6.4s.(6D&lt;5/2&gt;).5g</v>
      </c>
      <c r="B807" t="str">
        <f>"2[5/2]"</f>
        <v>2[5/2]</v>
      </c>
      <c r="C807" t="str">
        <f>"3"</f>
        <v>3</v>
      </c>
      <c r="D807" t="str">
        <f>""</f>
        <v/>
      </c>
      <c r="E807" t="str">
        <f>"59999.398"</f>
        <v>59999.398</v>
      </c>
      <c r="F807" t="str">
        <f>""</f>
        <v/>
      </c>
      <c r="G807" t="str">
        <f>"0.005"</f>
        <v>0.005</v>
      </c>
      <c r="H807" t="str">
        <f>""</f>
        <v/>
      </c>
      <c r="I807" t="str">
        <f t="shared" si="90"/>
        <v xml:space="preserve">                                                     </v>
      </c>
      <c r="J807" t="str">
        <f>""</f>
        <v/>
      </c>
    </row>
    <row r="808" spans="1:10">
      <c r="A808" s="1" t="str">
        <f>"3d6.4s.(6D&lt;3/2&gt;).6d"</f>
        <v>3d6.4s.(6D&lt;3/2&gt;).6d</v>
      </c>
      <c r="B808" t="str">
        <f>"2[3/2]"</f>
        <v>2[3/2]</v>
      </c>
      <c r="C808" t="str">
        <f>"1"</f>
        <v>1</v>
      </c>
      <c r="D808" t="str">
        <f>""</f>
        <v/>
      </c>
      <c r="E808" t="str">
        <f>"59999.79"</f>
        <v>59999.79</v>
      </c>
      <c r="F808" t="str">
        <f>""</f>
        <v/>
      </c>
      <c r="G808" t="str">
        <f>"0.03"</f>
        <v>0.03</v>
      </c>
      <c r="H808" t="str">
        <f>""</f>
        <v/>
      </c>
      <c r="I808" t="str">
        <f t="shared" si="90"/>
        <v xml:space="preserve">                                                     </v>
      </c>
      <c r="J808" t="str">
        <f>""</f>
        <v/>
      </c>
    </row>
    <row r="809" spans="1:10">
      <c r="A809" s="1" t="str">
        <f>"3d6.4s.(6D&lt;3/2&gt;).6d"</f>
        <v>3d6.4s.(6D&lt;3/2&gt;).6d</v>
      </c>
      <c r="B809" t="str">
        <f>"2[3/2]"</f>
        <v>2[3/2]</v>
      </c>
      <c r="C809" t="str">
        <f>"2"</f>
        <v>2</v>
      </c>
      <c r="D809" t="str">
        <f>""</f>
        <v/>
      </c>
      <c r="E809" t="str">
        <f>"60035.04"</f>
        <v>60035.04</v>
      </c>
      <c r="F809" t="str">
        <f>""</f>
        <v/>
      </c>
      <c r="G809" t="str">
        <f>"0.03"</f>
        <v>0.03</v>
      </c>
      <c r="H809" t="str">
        <f>""</f>
        <v/>
      </c>
      <c r="I809" t="str">
        <f t="shared" si="90"/>
        <v xml:space="preserve">                                                     </v>
      </c>
      <c r="J809" t="str">
        <f>""</f>
        <v/>
      </c>
    </row>
    <row r="810" spans="1:10">
      <c r="A810" s="1" t="str">
        <f t="shared" ref="A810:A815" si="94">"3d6.4s.(6D&lt;5/2&gt;).5g"</f>
        <v>3d6.4s.(6D&lt;5/2&gt;).5g</v>
      </c>
      <c r="B810" t="str">
        <f>"2[7/2]"</f>
        <v>2[7/2]</v>
      </c>
      <c r="C810" t="str">
        <f>"3"</f>
        <v>3</v>
      </c>
      <c r="D810" t="str">
        <f>""</f>
        <v/>
      </c>
      <c r="E810" t="str">
        <f>"60000.71"</f>
        <v>60000.71</v>
      </c>
      <c r="F810" t="str">
        <f>""</f>
        <v/>
      </c>
      <c r="G810" t="str">
        <f>"0.02"</f>
        <v>0.02</v>
      </c>
      <c r="H810" t="str">
        <f>""</f>
        <v/>
      </c>
      <c r="I810" t="str">
        <f t="shared" si="90"/>
        <v xml:space="preserve">                                                     </v>
      </c>
      <c r="J810" t="str">
        <f>""</f>
        <v/>
      </c>
    </row>
    <row r="811" spans="1:10">
      <c r="A811" s="1" t="str">
        <f t="shared" si="94"/>
        <v>3d6.4s.(6D&lt;5/2&gt;).5g</v>
      </c>
      <c r="B811" t="str">
        <f>"2[7/2]"</f>
        <v>2[7/2]</v>
      </c>
      <c r="C811" t="str">
        <f>"4"</f>
        <v>4</v>
      </c>
      <c r="D811" t="str">
        <f>""</f>
        <v/>
      </c>
      <c r="E811" t="str">
        <f>"60000.715"</f>
        <v>60000.715</v>
      </c>
      <c r="F811" t="str">
        <f>""</f>
        <v/>
      </c>
      <c r="G811" t="str">
        <f>"0.007"</f>
        <v>0.007</v>
      </c>
      <c r="H811" t="str">
        <f>""</f>
        <v/>
      </c>
      <c r="I811" t="str">
        <f t="shared" si="90"/>
        <v xml:space="preserve">                                                     </v>
      </c>
      <c r="J811" t="str">
        <f>""</f>
        <v/>
      </c>
    </row>
    <row r="812" spans="1:10">
      <c r="A812" s="1" t="str">
        <f t="shared" si="94"/>
        <v>3d6.4s.(6D&lt;5/2&gt;).5g</v>
      </c>
      <c r="B812" t="str">
        <f>"2[11/2]"</f>
        <v>2[11/2]</v>
      </c>
      <c r="C812" t="str">
        <f>"5"</f>
        <v>5</v>
      </c>
      <c r="D812" t="str">
        <f>""</f>
        <v/>
      </c>
      <c r="E812" t="str">
        <f>"60001.341"</f>
        <v>60001.341</v>
      </c>
      <c r="F812" t="str">
        <f>""</f>
        <v/>
      </c>
      <c r="G812" t="str">
        <f>"0.004"</f>
        <v>0.004</v>
      </c>
      <c r="H812" t="str">
        <f>""</f>
        <v/>
      </c>
      <c r="I812" t="str">
        <f t="shared" si="90"/>
        <v xml:space="preserve">                                                     </v>
      </c>
      <c r="J812" t="str">
        <f>""</f>
        <v/>
      </c>
    </row>
    <row r="813" spans="1:10">
      <c r="A813" s="1" t="str">
        <f t="shared" si="94"/>
        <v>3d6.4s.(6D&lt;5/2&gt;).5g</v>
      </c>
      <c r="B813" t="str">
        <f>"2[11/2]"</f>
        <v>2[11/2]</v>
      </c>
      <c r="C813" t="str">
        <f>"6"</f>
        <v>6</v>
      </c>
      <c r="D813" t="str">
        <f>""</f>
        <v/>
      </c>
      <c r="E813" t="str">
        <f>"60001.347"</f>
        <v>60001.347</v>
      </c>
      <c r="F813" t="str">
        <f>""</f>
        <v/>
      </c>
      <c r="G813" t="str">
        <f>"0.004"</f>
        <v>0.004</v>
      </c>
      <c r="H813" t="str">
        <f>""</f>
        <v/>
      </c>
      <c r="I813" t="str">
        <f t="shared" si="90"/>
        <v xml:space="preserve">                                                     </v>
      </c>
      <c r="J813" t="str">
        <f>""</f>
        <v/>
      </c>
    </row>
    <row r="814" spans="1:10">
      <c r="A814" s="1" t="str">
        <f t="shared" si="94"/>
        <v>3d6.4s.(6D&lt;5/2&gt;).5g</v>
      </c>
      <c r="B814" t="str">
        <f>"2[9/2]"</f>
        <v>2[9/2]</v>
      </c>
      <c r="C814" t="str">
        <f>"4"</f>
        <v>4</v>
      </c>
      <c r="D814" t="str">
        <f>""</f>
        <v/>
      </c>
      <c r="E814" t="str">
        <f>"60001.563"</f>
        <v>60001.563</v>
      </c>
      <c r="F814" t="str">
        <f>""</f>
        <v/>
      </c>
      <c r="G814" t="str">
        <f>"0.007"</f>
        <v>0.007</v>
      </c>
      <c r="H814" t="str">
        <f>""</f>
        <v/>
      </c>
      <c r="I814" t="str">
        <f t="shared" si="90"/>
        <v xml:space="preserve">                                                     </v>
      </c>
      <c r="J814" t="str">
        <f>""</f>
        <v/>
      </c>
    </row>
    <row r="815" spans="1:10">
      <c r="A815" s="1" t="str">
        <f t="shared" si="94"/>
        <v>3d6.4s.(6D&lt;5/2&gt;).5g</v>
      </c>
      <c r="B815" t="str">
        <f>"2[9/2]"</f>
        <v>2[9/2]</v>
      </c>
      <c r="C815" t="str">
        <f>"5"</f>
        <v>5</v>
      </c>
      <c r="D815" t="str">
        <f>""</f>
        <v/>
      </c>
      <c r="E815" t="str">
        <f>"60001.579"</f>
        <v>60001.579</v>
      </c>
      <c r="F815" t="str">
        <f>""</f>
        <v/>
      </c>
      <c r="G815" t="str">
        <f>"0.004"</f>
        <v>0.004</v>
      </c>
      <c r="H815" t="str">
        <f>""</f>
        <v/>
      </c>
      <c r="I815" t="str">
        <f t="shared" si="90"/>
        <v xml:space="preserve">                                                     </v>
      </c>
      <c r="J815" t="str">
        <f>""</f>
        <v/>
      </c>
    </row>
    <row r="816" spans="1:10">
      <c r="A816" s="1" t="str">
        <f>"3d6.4s.(6D&lt;3/2&gt;).6d"</f>
        <v>3d6.4s.(6D&lt;3/2&gt;).6d</v>
      </c>
      <c r="B816" t="str">
        <f>"2[5/2]"</f>
        <v>2[5/2]</v>
      </c>
      <c r="C816" t="str">
        <f>"3"</f>
        <v>3</v>
      </c>
      <c r="D816" t="str">
        <f>""</f>
        <v/>
      </c>
      <c r="E816" t="str">
        <f>"60075.924"</f>
        <v>60075.924</v>
      </c>
      <c r="F816" t="str">
        <f>""</f>
        <v/>
      </c>
      <c r="G816" t="str">
        <f>"0.012"</f>
        <v>0.012</v>
      </c>
      <c r="H816" t="str">
        <f>""</f>
        <v/>
      </c>
      <c r="I816" t="str">
        <f t="shared" si="90"/>
        <v xml:space="preserve">                                                     </v>
      </c>
      <c r="J816" t="str">
        <f>""</f>
        <v/>
      </c>
    </row>
    <row r="817" spans="1:10">
      <c r="A817" s="1" t="str">
        <f>"3d6.4s.(6D&lt;3/2&gt;).6d"</f>
        <v>3d6.4s.(6D&lt;3/2&gt;).6d</v>
      </c>
      <c r="B817" t="str">
        <f>"2[5/2]"</f>
        <v>2[5/2]</v>
      </c>
      <c r="C817" t="str">
        <f>"2"</f>
        <v>2</v>
      </c>
      <c r="D817" t="str">
        <f>""</f>
        <v/>
      </c>
      <c r="E817" t="str">
        <f>"60085.504"</f>
        <v>60085.504</v>
      </c>
      <c r="F817" t="str">
        <f>""</f>
        <v/>
      </c>
      <c r="G817" t="str">
        <f>"0.016"</f>
        <v>0.016</v>
      </c>
      <c r="H817" t="str">
        <f>""</f>
        <v/>
      </c>
      <c r="I817" t="str">
        <f t="shared" si="90"/>
        <v xml:space="preserve">                                                     </v>
      </c>
      <c r="J817" t="str">
        <f>""</f>
        <v/>
      </c>
    </row>
    <row r="818" spans="1:10">
      <c r="A818" s="1" t="str">
        <f>"3d6.(3F2).4s.4p.(1P*)"</f>
        <v>3d6.(3F2).4s.4p.(1P*)</v>
      </c>
      <c r="B818" t="str">
        <f>"3F*"</f>
        <v>3F*</v>
      </c>
      <c r="C818" t="str">
        <f>"4"</f>
        <v>4</v>
      </c>
      <c r="D818" t="str">
        <f>""</f>
        <v/>
      </c>
      <c r="E818" t="str">
        <f>"60095.599"</f>
        <v>60095.599</v>
      </c>
      <c r="F818" t="str">
        <f>""</f>
        <v/>
      </c>
      <c r="G818" t="str">
        <f>"0.003"</f>
        <v>0.003</v>
      </c>
      <c r="H818" t="str">
        <f>""</f>
        <v/>
      </c>
      <c r="I818" t="str">
        <f>"  32             :    33  3d6.(1D2).4s.4p.(3P*) 3F*  "</f>
        <v xml:space="preserve">  32             :    33  3d6.(1D2).4s.4p.(3P*) 3F*  </v>
      </c>
      <c r="J818" t="str">
        <f>""</f>
        <v/>
      </c>
    </row>
    <row r="819" spans="1:10">
      <c r="A819" s="1" t="str">
        <f>"3d6.(3F2).4s.4p.(1P*)"</f>
        <v>3d6.(3F2).4s.4p.(1P*)</v>
      </c>
      <c r="B819" t="str">
        <f>"3F*"</f>
        <v>3F*</v>
      </c>
      <c r="C819" t="str">
        <f>"3"</f>
        <v>3</v>
      </c>
      <c r="D819" t="str">
        <f>""</f>
        <v/>
      </c>
      <c r="E819" t="str">
        <f>"60172.464"</f>
        <v>60172.464</v>
      </c>
      <c r="F819" t="str">
        <f>""</f>
        <v/>
      </c>
      <c r="G819" t="str">
        <f>"0.003"</f>
        <v>0.003</v>
      </c>
      <c r="H819" t="str">
        <f>""</f>
        <v/>
      </c>
      <c r="I819" t="str">
        <f>"  29             :    28  3d6.(1D2).4s.4p.(3P*) 3F*  "</f>
        <v xml:space="preserve">  29             :    28  3d6.(1D2).4s.4p.(3P*) 3F*  </v>
      </c>
      <c r="J819" t="str">
        <f>""</f>
        <v/>
      </c>
    </row>
    <row r="820" spans="1:10">
      <c r="A820" s="1" t="str">
        <f>"3d6.4s.(6D&lt;3/2&gt;).6d"</f>
        <v>3d6.4s.(6D&lt;3/2&gt;).6d</v>
      </c>
      <c r="B820" t="str">
        <f>"2[7/2]"</f>
        <v>2[7/2]</v>
      </c>
      <c r="C820" t="str">
        <f>"3"</f>
        <v>3</v>
      </c>
      <c r="D820" t="str">
        <f>""</f>
        <v/>
      </c>
      <c r="E820" t="str">
        <f>"60097.024"</f>
        <v>60097.024</v>
      </c>
      <c r="F820" t="str">
        <f>""</f>
        <v/>
      </c>
      <c r="G820" t="str">
        <f>"0.013"</f>
        <v>0.013</v>
      </c>
      <c r="H820" t="str">
        <f>""</f>
        <v/>
      </c>
      <c r="I820" t="str">
        <f t="shared" ref="I820:I831" si="95">"                                                     "</f>
        <v xml:space="preserve">                                                     </v>
      </c>
      <c r="J820" t="str">
        <f>""</f>
        <v/>
      </c>
    </row>
    <row r="821" spans="1:10">
      <c r="A821" s="1" t="str">
        <f>"3d6.4s.(6D&lt;1/2&gt;).6d"</f>
        <v>3d6.4s.(6D&lt;1/2&gt;).6d</v>
      </c>
      <c r="B821" t="str">
        <f>"2[3/2]"</f>
        <v>2[3/2]</v>
      </c>
      <c r="C821" t="str">
        <f>"2"</f>
        <v>2</v>
      </c>
      <c r="D821" t="str">
        <f>""</f>
        <v/>
      </c>
      <c r="E821" t="str">
        <f>"60128.60"</f>
        <v>60128.60</v>
      </c>
      <c r="F821" t="str">
        <f>""</f>
        <v/>
      </c>
      <c r="G821" t="str">
        <f>"0.02"</f>
        <v>0.02</v>
      </c>
      <c r="H821" t="str">
        <f>""</f>
        <v/>
      </c>
      <c r="I821" t="str">
        <f t="shared" si="95"/>
        <v xml:space="preserve">                                                     </v>
      </c>
      <c r="J821" t="str">
        <f>""</f>
        <v/>
      </c>
    </row>
    <row r="822" spans="1:10">
      <c r="A822" s="1" t="str">
        <f>"3d6.4s.(6D&lt;1/2&gt;).6d"</f>
        <v>3d6.4s.(6D&lt;1/2&gt;).6d</v>
      </c>
      <c r="B822" t="str">
        <f>"2[3/2]"</f>
        <v>2[3/2]</v>
      </c>
      <c r="C822" t="str">
        <f>"1"</f>
        <v>1</v>
      </c>
      <c r="D822" t="str">
        <f>""</f>
        <v/>
      </c>
      <c r="E822" t="str">
        <f>"60178.254"</f>
        <v>60178.254</v>
      </c>
      <c r="F822" t="str">
        <f>""</f>
        <v/>
      </c>
      <c r="G822" t="str">
        <f>"0.016"</f>
        <v>0.016</v>
      </c>
      <c r="H822" t="str">
        <f>""</f>
        <v/>
      </c>
      <c r="I822" t="str">
        <f t="shared" si="95"/>
        <v xml:space="preserve">                                                     </v>
      </c>
      <c r="J822" t="str">
        <f>""</f>
        <v/>
      </c>
    </row>
    <row r="823" spans="1:10">
      <c r="A823" s="1" t="str">
        <f t="shared" ref="A823:A830" si="96">"3d6.4s.(6D&lt;3/2&gt;).5g"</f>
        <v>3d6.4s.(6D&lt;3/2&gt;).5g</v>
      </c>
      <c r="B823" t="str">
        <f>"2[5/2]"</f>
        <v>2[5/2]</v>
      </c>
      <c r="C823" t="str">
        <f>"2"</f>
        <v>2</v>
      </c>
      <c r="D823" t="str">
        <f>""</f>
        <v/>
      </c>
      <c r="E823" t="str">
        <f>"60192.13"</f>
        <v>60192.13</v>
      </c>
      <c r="F823" t="str">
        <f>""</f>
        <v/>
      </c>
      <c r="G823" t="str">
        <f>"0.02"</f>
        <v>0.02</v>
      </c>
      <c r="H823" t="str">
        <f>""</f>
        <v/>
      </c>
      <c r="I823" t="str">
        <f t="shared" si="95"/>
        <v xml:space="preserve">                                                     </v>
      </c>
      <c r="J823" t="str">
        <f>""</f>
        <v/>
      </c>
    </row>
    <row r="824" spans="1:10">
      <c r="A824" s="1" t="str">
        <f t="shared" si="96"/>
        <v>3d6.4s.(6D&lt;3/2&gt;).5g</v>
      </c>
      <c r="B824" t="str">
        <f>"2[5/2]"</f>
        <v>2[5/2]</v>
      </c>
      <c r="C824" t="str">
        <f>"3"</f>
        <v>3</v>
      </c>
      <c r="D824" t="str">
        <f>""</f>
        <v/>
      </c>
      <c r="E824" t="str">
        <f>"60192.14"</f>
        <v>60192.14</v>
      </c>
      <c r="F824" t="str">
        <f>""</f>
        <v/>
      </c>
      <c r="G824" t="str">
        <f>"0.02"</f>
        <v>0.02</v>
      </c>
      <c r="H824" t="str">
        <f>""</f>
        <v/>
      </c>
      <c r="I824" t="str">
        <f t="shared" si="95"/>
        <v xml:space="preserve">                                                     </v>
      </c>
      <c r="J824" t="str">
        <f>""</f>
        <v/>
      </c>
    </row>
    <row r="825" spans="1:10">
      <c r="A825" s="1" t="str">
        <f t="shared" si="96"/>
        <v>3d6.4s.(6D&lt;3/2&gt;).5g</v>
      </c>
      <c r="B825" t="str">
        <f>"2[11/2]"</f>
        <v>2[11/2]</v>
      </c>
      <c r="C825" t="str">
        <f>"5"</f>
        <v>5</v>
      </c>
      <c r="D825" t="str">
        <f>""</f>
        <v/>
      </c>
      <c r="E825" t="str">
        <f>"60193.670"</f>
        <v>60193.670</v>
      </c>
      <c r="F825" t="str">
        <f>""</f>
        <v/>
      </c>
      <c r="G825" t="str">
        <f>"0.005"</f>
        <v>0.005</v>
      </c>
      <c r="H825" t="str">
        <f>""</f>
        <v/>
      </c>
      <c r="I825" t="str">
        <f t="shared" si="95"/>
        <v xml:space="preserve">                                                     </v>
      </c>
      <c r="J825" t="str">
        <f>""</f>
        <v/>
      </c>
    </row>
    <row r="826" spans="1:10">
      <c r="A826" s="1" t="str">
        <f t="shared" si="96"/>
        <v>3d6.4s.(6D&lt;3/2&gt;).5g</v>
      </c>
      <c r="B826" t="str">
        <f>"2[11/2]"</f>
        <v>2[11/2]</v>
      </c>
      <c r="C826" t="str">
        <f>"6"</f>
        <v>6</v>
      </c>
      <c r="D826" t="str">
        <f>""</f>
        <v/>
      </c>
      <c r="E826" t="str">
        <f>"60193.674"</f>
        <v>60193.674</v>
      </c>
      <c r="F826" t="str">
        <f>""</f>
        <v/>
      </c>
      <c r="G826" t="str">
        <f>"0.007"</f>
        <v>0.007</v>
      </c>
      <c r="H826" t="str">
        <f>""</f>
        <v/>
      </c>
      <c r="I826" t="str">
        <f t="shared" si="95"/>
        <v xml:space="preserve">                                                     </v>
      </c>
      <c r="J826" t="str">
        <f>""</f>
        <v/>
      </c>
    </row>
    <row r="827" spans="1:10">
      <c r="A827" s="1" t="str">
        <f t="shared" si="96"/>
        <v>3d6.4s.(6D&lt;3/2&gt;).5g</v>
      </c>
      <c r="B827" t="str">
        <f>"2[7/2]"</f>
        <v>2[7/2]</v>
      </c>
      <c r="C827" t="str">
        <f>"4"</f>
        <v>4</v>
      </c>
      <c r="D827" t="str">
        <f>""</f>
        <v/>
      </c>
      <c r="E827" t="str">
        <f>"60196.433"</f>
        <v>60196.433</v>
      </c>
      <c r="F827" t="str">
        <f>""</f>
        <v/>
      </c>
      <c r="G827" t="str">
        <f>"0.007"</f>
        <v>0.007</v>
      </c>
      <c r="H827" t="str">
        <f>""</f>
        <v/>
      </c>
      <c r="I827" t="str">
        <f t="shared" si="95"/>
        <v xml:space="preserve">                                                     </v>
      </c>
      <c r="J827" t="str">
        <f>""</f>
        <v/>
      </c>
    </row>
    <row r="828" spans="1:10">
      <c r="A828" s="1" t="str">
        <f t="shared" si="96"/>
        <v>3d6.4s.(6D&lt;3/2&gt;).5g</v>
      </c>
      <c r="B828" t="str">
        <f>"2[7/2]"</f>
        <v>2[7/2]</v>
      </c>
      <c r="C828" t="str">
        <f>"3"</f>
        <v>3</v>
      </c>
      <c r="D828" t="str">
        <f>""</f>
        <v/>
      </c>
      <c r="E828" t="str">
        <f>"60196.434"</f>
        <v>60196.434</v>
      </c>
      <c r="F828" t="str">
        <f>""</f>
        <v/>
      </c>
      <c r="G828" t="str">
        <f>"0.01"</f>
        <v>0.01</v>
      </c>
      <c r="H828" t="str">
        <f>""</f>
        <v/>
      </c>
      <c r="I828" t="str">
        <f t="shared" si="95"/>
        <v xml:space="preserve">                                                     </v>
      </c>
      <c r="J828" t="str">
        <f>""</f>
        <v/>
      </c>
    </row>
    <row r="829" spans="1:10">
      <c r="A829" s="1" t="str">
        <f t="shared" si="96"/>
        <v>3d6.4s.(6D&lt;3/2&gt;).5g</v>
      </c>
      <c r="B829" t="str">
        <f>"2[9/2]"</f>
        <v>2[9/2]</v>
      </c>
      <c r="C829" t="str">
        <f>"4"</f>
        <v>4</v>
      </c>
      <c r="D829" t="str">
        <f>""</f>
        <v/>
      </c>
      <c r="E829" t="str">
        <f>"60197.941"</f>
        <v>60197.941</v>
      </c>
      <c r="F829" t="str">
        <f>""</f>
        <v/>
      </c>
      <c r="G829" t="str">
        <f>"0.003"</f>
        <v>0.003</v>
      </c>
      <c r="H829" t="str">
        <f>""</f>
        <v/>
      </c>
      <c r="I829" t="str">
        <f t="shared" si="95"/>
        <v xml:space="preserve">                                                     </v>
      </c>
      <c r="J829" t="str">
        <f>""</f>
        <v/>
      </c>
    </row>
    <row r="830" spans="1:10">
      <c r="A830" s="1" t="str">
        <f t="shared" si="96"/>
        <v>3d6.4s.(6D&lt;3/2&gt;).5g</v>
      </c>
      <c r="B830" t="str">
        <f>"2[9/2]"</f>
        <v>2[9/2]</v>
      </c>
      <c r="C830" t="str">
        <f>"5"</f>
        <v>5</v>
      </c>
      <c r="D830" t="str">
        <f>""</f>
        <v/>
      </c>
      <c r="E830" t="str">
        <f>"60197.944"</f>
        <v>60197.944</v>
      </c>
      <c r="F830" t="str">
        <f>""</f>
        <v/>
      </c>
      <c r="G830" t="str">
        <f>"0.006"</f>
        <v>0.006</v>
      </c>
      <c r="H830" t="str">
        <f>""</f>
        <v/>
      </c>
      <c r="I830" t="str">
        <f t="shared" si="95"/>
        <v xml:space="preserve">                                                     </v>
      </c>
      <c r="J830" t="str">
        <f>""</f>
        <v/>
      </c>
    </row>
    <row r="831" spans="1:10">
      <c r="A831" s="1" t="str">
        <f>"3d6.4s.(4D).4d"</f>
        <v>3d6.4s.(4D).4d</v>
      </c>
      <c r="B831" t="str">
        <f>"3P"</f>
        <v>3P</v>
      </c>
      <c r="C831" t="str">
        <f>"1"</f>
        <v>1</v>
      </c>
      <c r="D831" t="str">
        <f>""</f>
        <v/>
      </c>
      <c r="E831" t="str">
        <f>"60215.243"</f>
        <v>60215.243</v>
      </c>
      <c r="F831" t="str">
        <f>""</f>
        <v/>
      </c>
      <c r="G831" t="str">
        <f>"0.003"</f>
        <v>0.003</v>
      </c>
      <c r="H831" t="str">
        <f>""</f>
        <v/>
      </c>
      <c r="I831" t="str">
        <f t="shared" si="95"/>
        <v xml:space="preserve">                                                     </v>
      </c>
      <c r="J831" t="str">
        <f>""</f>
        <v/>
      </c>
    </row>
    <row r="832" spans="1:10">
      <c r="A832" s="1" t="str">
        <f>"3d6.(3F2).4s.4p.(1P*)"</f>
        <v>3d6.(3F2).4s.4p.(1P*)</v>
      </c>
      <c r="B832" t="str">
        <f>"r 3G*"</f>
        <v>r 3G*</v>
      </c>
      <c r="C832" t="str">
        <f>"5"</f>
        <v>5</v>
      </c>
      <c r="D832" t="str">
        <f>""</f>
        <v/>
      </c>
      <c r="E832" t="str">
        <f>"60254.170"</f>
        <v>60254.170</v>
      </c>
      <c r="F832" t="str">
        <f>""</f>
        <v/>
      </c>
      <c r="G832" t="str">
        <f>"0.003"</f>
        <v>0.003</v>
      </c>
      <c r="H832" t="str">
        <f>""</f>
        <v/>
      </c>
      <c r="I832" t="str">
        <f>"  81             :     8  3d6.(3H).4s.4p.(1P*)  3H*  "</f>
        <v xml:space="preserve">  81             :     8  3d6.(3H).4s.4p.(1P*)  3H*  </v>
      </c>
      <c r="J832" t="str">
        <f>""</f>
        <v/>
      </c>
    </row>
    <row r="833" spans="1:10">
      <c r="A833" s="1" t="str">
        <f>"3d6.(3F2).4s.4p.(1P*)"</f>
        <v>3d6.(3F2).4s.4p.(1P*)</v>
      </c>
      <c r="B833" t="str">
        <f>"r 3G*"</f>
        <v>r 3G*</v>
      </c>
      <c r="C833" t="str">
        <f>"4"</f>
        <v>4</v>
      </c>
      <c r="D833" t="str">
        <f>""</f>
        <v/>
      </c>
      <c r="E833" t="str">
        <f>"60466.164"</f>
        <v>60466.164</v>
      </c>
      <c r="F833" t="str">
        <f>""</f>
        <v/>
      </c>
      <c r="G833" t="str">
        <f>"0.004"</f>
        <v>0.004</v>
      </c>
      <c r="H833" t="str">
        <f>""</f>
        <v/>
      </c>
      <c r="I833" t="str">
        <f>"  65             :    25  3d6.(1D2).4s.4p.(3P*) 3F*  "</f>
        <v xml:space="preserve">  65             :    25  3d6.(1D2).4s.4p.(3P*) 3F*  </v>
      </c>
      <c r="J833" t="str">
        <f>""</f>
        <v/>
      </c>
    </row>
    <row r="834" spans="1:10">
      <c r="A834" s="1" t="str">
        <f>"3d6.(3F2).4s.4p.(1P*)"</f>
        <v>3d6.(3F2).4s.4p.(1P*)</v>
      </c>
      <c r="B834" t="str">
        <f>"r 3G*"</f>
        <v>r 3G*</v>
      </c>
      <c r="C834" t="str">
        <f>"3"</f>
        <v>3</v>
      </c>
      <c r="D834" t="str">
        <f>""</f>
        <v/>
      </c>
      <c r="E834" t="str">
        <f>"60563.614"</f>
        <v>60563.614</v>
      </c>
      <c r="F834" t="str">
        <f>""</f>
        <v/>
      </c>
      <c r="G834" t="str">
        <f>"0.005"</f>
        <v>0.005</v>
      </c>
      <c r="H834" t="str">
        <f>""</f>
        <v/>
      </c>
      <c r="I834" t="str">
        <f>"  63             :    17  3d6.(1D2).4s.4p.(3P*) 3F*  "</f>
        <v xml:space="preserve">  63             :    17  3d6.(1D2).4s.4p.(3P*) 3F*  </v>
      </c>
      <c r="J834" t="str">
        <f>""</f>
        <v/>
      </c>
    </row>
    <row r="835" spans="1:10">
      <c r="A835" s="1" t="str">
        <f>"3d6.4s.(6D&lt;1/2&gt;).5g"</f>
        <v>3d6.4s.(6D&lt;1/2&gt;).5g</v>
      </c>
      <c r="B835" t="str">
        <f>"2[9/2]"</f>
        <v>2[9/2]</v>
      </c>
      <c r="C835" t="str">
        <f>"5"</f>
        <v>5</v>
      </c>
      <c r="D835" t="str">
        <f>""</f>
        <v/>
      </c>
      <c r="E835" t="str">
        <f>"60309.69"</f>
        <v>60309.69</v>
      </c>
      <c r="F835" t="str">
        <f>""</f>
        <v/>
      </c>
      <c r="G835" t="str">
        <f>"0.02"</f>
        <v>0.02</v>
      </c>
      <c r="H835" t="str">
        <f>""</f>
        <v/>
      </c>
      <c r="I835" t="str">
        <f>"                                                     "</f>
        <v xml:space="preserve">                                                     </v>
      </c>
      <c r="J835" t="str">
        <f>""</f>
        <v/>
      </c>
    </row>
    <row r="836" spans="1:10">
      <c r="A836" s="1" t="str">
        <f>"3d6.4s.(6D&lt;1/2&gt;).5g"</f>
        <v>3d6.4s.(6D&lt;1/2&gt;).5g</v>
      </c>
      <c r="B836" t="str">
        <f>"2[9/2]"</f>
        <v>2[9/2]</v>
      </c>
      <c r="C836" t="str">
        <f>"4"</f>
        <v>4</v>
      </c>
      <c r="D836" t="str">
        <f>""</f>
        <v/>
      </c>
      <c r="E836" t="str">
        <f>"60309.704"</f>
        <v>60309.704</v>
      </c>
      <c r="F836" t="str">
        <f>""</f>
        <v/>
      </c>
      <c r="G836" t="str">
        <f>"0.01"</f>
        <v>0.01</v>
      </c>
      <c r="H836" t="str">
        <f>""</f>
        <v/>
      </c>
      <c r="I836" t="str">
        <f>"                                                     "</f>
        <v xml:space="preserve">                                                     </v>
      </c>
      <c r="J836" t="str">
        <f>""</f>
        <v/>
      </c>
    </row>
    <row r="837" spans="1:10">
      <c r="A837" s="1" t="str">
        <f>"3d6.4s.(6D&lt;1/2&gt;).5g"</f>
        <v>3d6.4s.(6D&lt;1/2&gt;).5g</v>
      </c>
      <c r="B837" t="str">
        <f>"2[7/2]"</f>
        <v>2[7/2]</v>
      </c>
      <c r="C837" t="str">
        <f>"4"</f>
        <v>4</v>
      </c>
      <c r="D837" t="str">
        <f>""</f>
        <v/>
      </c>
      <c r="E837" t="str">
        <f>"60309.715"</f>
        <v>60309.715</v>
      </c>
      <c r="F837" t="str">
        <f>""</f>
        <v/>
      </c>
      <c r="G837" t="str">
        <f>"0.006"</f>
        <v>0.006</v>
      </c>
      <c r="H837" t="str">
        <f>""</f>
        <v/>
      </c>
      <c r="I837" t="str">
        <f>"                                                     "</f>
        <v xml:space="preserve">                                                     </v>
      </c>
      <c r="J837" t="str">
        <f>""</f>
        <v/>
      </c>
    </row>
    <row r="838" spans="1:10">
      <c r="A838" s="1" t="str">
        <f>"3d6.4s.(6D&lt;1/2&gt;).5g"</f>
        <v>3d6.4s.(6D&lt;1/2&gt;).5g</v>
      </c>
      <c r="B838" t="str">
        <f>"2[7/2]"</f>
        <v>2[7/2]</v>
      </c>
      <c r="C838" t="str">
        <f>"3"</f>
        <v>3</v>
      </c>
      <c r="D838" t="str">
        <f>""</f>
        <v/>
      </c>
      <c r="E838" t="str">
        <f>"60309.721"</f>
        <v>60309.721</v>
      </c>
      <c r="F838" t="str">
        <f>""</f>
        <v/>
      </c>
      <c r="G838" t="str">
        <f>"0.005"</f>
        <v>0.005</v>
      </c>
      <c r="H838" t="str">
        <f>""</f>
        <v/>
      </c>
      <c r="I838" t="str">
        <f>"                                                     "</f>
        <v xml:space="preserve">                                                     </v>
      </c>
      <c r="J838" t="str">
        <f>""</f>
        <v/>
      </c>
    </row>
    <row r="839" spans="1:10">
      <c r="A839" s="1" t="str">
        <f>"3d6.(3H).4s.4p.(1P*)"</f>
        <v>3d6.(3H).4s.4p.(1P*)</v>
      </c>
      <c r="B839" t="str">
        <f>"t 3H*"</f>
        <v>t 3H*</v>
      </c>
      <c r="C839" t="str">
        <f>"6"</f>
        <v>6</v>
      </c>
      <c r="D839" t="str">
        <f>""</f>
        <v/>
      </c>
      <c r="E839" t="str">
        <f>"60365.637"</f>
        <v>60365.637</v>
      </c>
      <c r="F839" t="str">
        <f>""</f>
        <v/>
      </c>
      <c r="G839" t="str">
        <f>"0.004"</f>
        <v>0.004</v>
      </c>
      <c r="H839" t="str">
        <f>"1.163"</f>
        <v>1.163</v>
      </c>
      <c r="I839" t="str">
        <f>"  59             :    25  3d7.(2H).4p           3H*  "</f>
        <v xml:space="preserve">  59             :    25  3d7.(2H).4p           3H*  </v>
      </c>
      <c r="J839" t="str">
        <f>""</f>
        <v/>
      </c>
    </row>
    <row r="840" spans="1:10">
      <c r="A840" s="1" t="str">
        <f>"3d6.(3H).4s.4p.(1P*)"</f>
        <v>3d6.(3H).4s.4p.(1P*)</v>
      </c>
      <c r="B840" t="str">
        <f>"t 3H*"</f>
        <v>t 3H*</v>
      </c>
      <c r="C840" t="str">
        <f>"5"</f>
        <v>5</v>
      </c>
      <c r="D840" t="str">
        <f>""</f>
        <v/>
      </c>
      <c r="E840" t="str">
        <f>"60549.116"</f>
        <v>60549.116</v>
      </c>
      <c r="F840" t="str">
        <f>""</f>
        <v/>
      </c>
      <c r="G840" t="str">
        <f>"0.004"</f>
        <v>0.004</v>
      </c>
      <c r="H840" t="str">
        <f>"1.040"</f>
        <v>1.040</v>
      </c>
      <c r="I840" t="str">
        <f>"  49             :    22  3d7.(2H).4p           3H*  "</f>
        <v xml:space="preserve">  49             :    22  3d7.(2H).4p           3H*  </v>
      </c>
      <c r="J840" t="str">
        <f>""</f>
        <v/>
      </c>
    </row>
    <row r="841" spans="1:10">
      <c r="A841" s="1" t="str">
        <f>"3d6.(3H).4s.4p.(1P*)"</f>
        <v>3d6.(3H).4s.4p.(1P*)</v>
      </c>
      <c r="B841" t="str">
        <f>"t 3H*"</f>
        <v>t 3H*</v>
      </c>
      <c r="C841" t="str">
        <f>"4"</f>
        <v>4</v>
      </c>
      <c r="D841" t="str">
        <f>""</f>
        <v/>
      </c>
      <c r="E841" t="str">
        <f>"60757.596"</f>
        <v>60757.596</v>
      </c>
      <c r="F841" t="str">
        <f>""</f>
        <v/>
      </c>
      <c r="G841" t="str">
        <f>"0.003"</f>
        <v>0.003</v>
      </c>
      <c r="H841" t="str">
        <f>"0.805"</f>
        <v>0.805</v>
      </c>
      <c r="I841" t="str">
        <f>"  50             :    22  3d7.(2H).4p           3H*  "</f>
        <v xml:space="preserve">  50             :    22  3d7.(2H).4p           3H*  </v>
      </c>
      <c r="J841" t="str">
        <f>""</f>
        <v/>
      </c>
    </row>
    <row r="842" spans="1:10">
      <c r="A842" s="1" t="str">
        <f>"3d6.(3F2).4s.4p.(1P*)"</f>
        <v>3d6.(3F2).4s.4p.(1P*)</v>
      </c>
      <c r="B842" t="str">
        <f>"3D*"</f>
        <v>3D*</v>
      </c>
      <c r="C842" t="str">
        <f>"3"</f>
        <v>3</v>
      </c>
      <c r="D842" t="str">
        <f>""</f>
        <v/>
      </c>
      <c r="E842" t="str">
        <f>"60806.670"</f>
        <v>60806.670</v>
      </c>
      <c r="F842" t="str">
        <f>""</f>
        <v/>
      </c>
      <c r="G842" t="str">
        <f>"0.003"</f>
        <v>0.003</v>
      </c>
      <c r="H842" t="str">
        <f>""</f>
        <v/>
      </c>
      <c r="I842" t="str">
        <f>"  59             :     9  3d7.(2F).4p           3D*  "</f>
        <v xml:space="preserve">  59             :     9  3d7.(2F).4p           3D*  </v>
      </c>
      <c r="J842" t="str">
        <f>""</f>
        <v/>
      </c>
    </row>
    <row r="843" spans="1:10">
      <c r="A843" s="1" t="str">
        <f>""</f>
        <v/>
      </c>
      <c r="B843" t="str">
        <f>"61724e"</f>
        <v>61724e</v>
      </c>
      <c r="C843" t="str">
        <f>"4"</f>
        <v>4</v>
      </c>
      <c r="D843" t="str">
        <f>""</f>
        <v/>
      </c>
      <c r="E843" t="str">
        <f>"61724.829"</f>
        <v>61724.829</v>
      </c>
      <c r="F843" t="str">
        <f>""</f>
        <v/>
      </c>
      <c r="G843" t="str">
        <f>"0.004"</f>
        <v>0.004</v>
      </c>
      <c r="H843" t="str">
        <f>""</f>
        <v/>
      </c>
      <c r="I843" t="str">
        <f t="shared" ref="I843:I848" si="97">"                                                     "</f>
        <v xml:space="preserve">                                                     </v>
      </c>
      <c r="J843" t="str">
        <f>""</f>
        <v/>
      </c>
    </row>
    <row r="844" spans="1:10">
      <c r="A844" s="1" t="str">
        <f>""</f>
        <v/>
      </c>
      <c r="B844" t="str">
        <f>"62079e"</f>
        <v>62079e</v>
      </c>
      <c r="C844" t="str">
        <f>"6"</f>
        <v>6</v>
      </c>
      <c r="D844" t="str">
        <f>""</f>
        <v/>
      </c>
      <c r="E844" t="str">
        <f>"62079.322"</f>
        <v>62079.322</v>
      </c>
      <c r="F844" t="str">
        <f>""</f>
        <v/>
      </c>
      <c r="G844" t="str">
        <f>"0.004"</f>
        <v>0.004</v>
      </c>
      <c r="H844" t="str">
        <f>""</f>
        <v/>
      </c>
      <c r="I844" t="str">
        <f t="shared" si="97"/>
        <v xml:space="preserve">                                                     </v>
      </c>
      <c r="J844" t="str">
        <f>""</f>
        <v/>
      </c>
    </row>
    <row r="845" spans="1:10">
      <c r="A845" s="1" t="str">
        <f>""</f>
        <v/>
      </c>
      <c r="B845" t="str">
        <f>"62192e"</f>
        <v>62192e</v>
      </c>
      <c r="C845" t="str">
        <f>"5"</f>
        <v>5</v>
      </c>
      <c r="D845" t="str">
        <f>""</f>
        <v/>
      </c>
      <c r="E845" t="str">
        <f>"62192.735"</f>
        <v>62192.735</v>
      </c>
      <c r="F845" t="str">
        <f>""</f>
        <v/>
      </c>
      <c r="G845" t="str">
        <f>"0.01"</f>
        <v>0.01</v>
      </c>
      <c r="H845" t="str">
        <f>""</f>
        <v/>
      </c>
      <c r="I845" t="str">
        <f t="shared" si="97"/>
        <v xml:space="preserve">                                                     </v>
      </c>
      <c r="J845" t="str">
        <f>""</f>
        <v/>
      </c>
    </row>
    <row r="846" spans="1:10">
      <c r="A846" s="1" t="str">
        <f>""</f>
        <v/>
      </c>
      <c r="B846" t="str">
        <f>"62377e"</f>
        <v>62377e</v>
      </c>
      <c r="C846" t="str">
        <f>"4"</f>
        <v>4</v>
      </c>
      <c r="D846" t="str">
        <f>""</f>
        <v/>
      </c>
      <c r="E846" t="str">
        <f>"62377.66"</f>
        <v>62377.66</v>
      </c>
      <c r="F846" t="str">
        <f>""</f>
        <v/>
      </c>
      <c r="G846" t="str">
        <f>"0.03"</f>
        <v>0.03</v>
      </c>
      <c r="H846" t="str">
        <f>""</f>
        <v/>
      </c>
      <c r="I846" t="str">
        <f t="shared" si="97"/>
        <v xml:space="preserve">                                                     </v>
      </c>
      <c r="J846" t="str">
        <f>""</f>
        <v/>
      </c>
    </row>
    <row r="847" spans="1:10">
      <c r="A847" s="1" t="str">
        <f>"3d6.(3G).4s.4p.(1P*)"</f>
        <v>3d6.(3G).4s.4p.(1P*)</v>
      </c>
      <c r="B847" t="str">
        <f>"3H*"</f>
        <v>3H*</v>
      </c>
      <c r="C847" t="str">
        <f>"6"</f>
        <v>6</v>
      </c>
      <c r="D847" t="str">
        <f>""</f>
        <v/>
      </c>
      <c r="E847" t="str">
        <f>"63035.756"</f>
        <v>63035.756</v>
      </c>
      <c r="F847" t="str">
        <f>""</f>
        <v/>
      </c>
      <c r="G847" t="str">
        <f>"0.005"</f>
        <v>0.005</v>
      </c>
      <c r="H847" t="str">
        <f>""</f>
        <v/>
      </c>
      <c r="I847" t="str">
        <f t="shared" si="97"/>
        <v xml:space="preserve">                                                     </v>
      </c>
      <c r="J847" t="str">
        <f>""</f>
        <v/>
      </c>
    </row>
    <row r="848" spans="1:10">
      <c r="A848" s="1" t="str">
        <f>"Fe II (3d6.4s 6D&lt;9/2&gt;)"</f>
        <v>Fe II (3d6.4s 6D&lt;9/2&gt;)</v>
      </c>
      <c r="B848" t="str">
        <f>"Limit"</f>
        <v>Limit</v>
      </c>
      <c r="C848" t="str">
        <f>"---"</f>
        <v>---</v>
      </c>
      <c r="D848" t="str">
        <f>""</f>
        <v/>
      </c>
      <c r="E848" t="str">
        <f>"63737.704"</f>
        <v>63737.704</v>
      </c>
      <c r="F848" t="str">
        <f>""</f>
        <v/>
      </c>
      <c r="G848" t="str">
        <f>"0.010"</f>
        <v>0.010</v>
      </c>
      <c r="H848" t="str">
        <f>""</f>
        <v/>
      </c>
      <c r="I848" t="str">
        <f t="shared" si="97"/>
        <v xml:space="preserve">                                                     </v>
      </c>
      <c r="J848" t="str">
        <f>"L7743c109"</f>
        <v>L7743c109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89D2-0315-4255-9D7F-E66E507B4032}">
  <dimension ref="A1:J331"/>
  <sheetViews>
    <sheetView workbookViewId="0">
      <selection sqref="A1:J1048576"/>
    </sheetView>
  </sheetViews>
  <sheetFormatPr defaultRowHeight="15"/>
  <cols>
    <col min="1" max="1" width="24.28515625" bestFit="1" customWidth="1"/>
    <col min="2" max="2" width="6.28515625" bestFit="1" customWidth="1"/>
    <col min="3" max="3" width="4.8554687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8" bestFit="1" customWidth="1"/>
    <col min="9" max="9" width="41.28515625" bestFit="1" customWidth="1"/>
    <col min="10" max="10" width="10.14062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2537</v>
      </c>
      <c r="B2" t="s">
        <v>1034</v>
      </c>
      <c r="C2" s="2" t="s">
        <v>252</v>
      </c>
      <c r="E2">
        <v>0</v>
      </c>
      <c r="H2">
        <v>1.3328899999999999</v>
      </c>
      <c r="I2" t="s">
        <v>2174</v>
      </c>
      <c r="J2" t="s">
        <v>574</v>
      </c>
    </row>
    <row r="3" spans="1:10">
      <c r="A3" t="s">
        <v>2537</v>
      </c>
      <c r="B3" t="s">
        <v>1034</v>
      </c>
      <c r="C3" s="2" t="s">
        <v>251</v>
      </c>
      <c r="E3">
        <v>816</v>
      </c>
      <c r="H3">
        <v>1.2377800000000001</v>
      </c>
      <c r="I3" t="s">
        <v>2174</v>
      </c>
    </row>
    <row r="4" spans="1:10">
      <c r="A4" t="s">
        <v>2537</v>
      </c>
      <c r="B4" t="s">
        <v>1034</v>
      </c>
      <c r="C4" s="2" t="s">
        <v>249</v>
      </c>
      <c r="E4">
        <v>1406.84</v>
      </c>
      <c r="H4">
        <v>1.02826</v>
      </c>
      <c r="I4" t="s">
        <v>2174</v>
      </c>
    </row>
    <row r="5" spans="1:10">
      <c r="A5" t="s">
        <v>2537</v>
      </c>
      <c r="B5" t="s">
        <v>1034</v>
      </c>
      <c r="C5" s="2" t="s">
        <v>250</v>
      </c>
      <c r="E5">
        <v>1809.33</v>
      </c>
      <c r="H5">
        <v>0.39939999999999998</v>
      </c>
      <c r="I5" t="s">
        <v>2174</v>
      </c>
    </row>
    <row r="6" spans="1:10">
      <c r="A6" t="s">
        <v>2538</v>
      </c>
      <c r="B6" t="s">
        <v>1068</v>
      </c>
      <c r="C6" s="2" t="s">
        <v>252</v>
      </c>
      <c r="E6">
        <v>3482.82</v>
      </c>
      <c r="H6">
        <v>1.3334299999999999</v>
      </c>
      <c r="I6">
        <v>100</v>
      </c>
    </row>
    <row r="7" spans="1:10">
      <c r="A7" t="s">
        <v>2538</v>
      </c>
      <c r="B7" t="s">
        <v>1068</v>
      </c>
      <c r="C7" s="2" t="s">
        <v>251</v>
      </c>
      <c r="E7">
        <v>4142.66</v>
      </c>
      <c r="H7">
        <v>1.23661</v>
      </c>
      <c r="I7">
        <v>98</v>
      </c>
    </row>
    <row r="8" spans="1:10">
      <c r="A8" t="s">
        <v>2538</v>
      </c>
      <c r="B8" t="s">
        <v>1068</v>
      </c>
      <c r="C8" s="2" t="s">
        <v>249</v>
      </c>
      <c r="E8">
        <v>4690.18</v>
      </c>
      <c r="H8">
        <v>1.0270900000000001</v>
      </c>
      <c r="I8">
        <v>100</v>
      </c>
    </row>
    <row r="9" spans="1:10">
      <c r="A9" t="s">
        <v>2538</v>
      </c>
      <c r="B9" t="s">
        <v>1068</v>
      </c>
      <c r="C9" s="2" t="s">
        <v>250</v>
      </c>
      <c r="E9">
        <v>5075.83</v>
      </c>
      <c r="H9">
        <v>0.40400000000000003</v>
      </c>
      <c r="I9">
        <v>100</v>
      </c>
    </row>
    <row r="10" spans="1:10">
      <c r="A10" t="s">
        <v>2538</v>
      </c>
      <c r="B10" t="s">
        <v>1091</v>
      </c>
      <c r="C10" s="2" t="s">
        <v>251</v>
      </c>
      <c r="E10">
        <v>7442.41</v>
      </c>
      <c r="H10">
        <v>1.147</v>
      </c>
      <c r="I10">
        <v>98</v>
      </c>
    </row>
    <row r="11" spans="1:10">
      <c r="A11" t="s">
        <v>2538</v>
      </c>
      <c r="B11" t="s">
        <v>1091</v>
      </c>
      <c r="C11" s="2" t="s">
        <v>249</v>
      </c>
      <c r="E11">
        <v>8460.81</v>
      </c>
      <c r="H11">
        <v>0.86199999999999999</v>
      </c>
      <c r="I11">
        <v>100</v>
      </c>
    </row>
    <row r="12" spans="1:10">
      <c r="A12" t="s">
        <v>2537</v>
      </c>
      <c r="B12" t="s">
        <v>1043</v>
      </c>
      <c r="C12" s="2" t="s">
        <v>249</v>
      </c>
      <c r="E12">
        <v>13795.52</v>
      </c>
      <c r="H12">
        <v>1.6040000000000001</v>
      </c>
      <c r="I12" t="s">
        <v>2174</v>
      </c>
    </row>
    <row r="13" spans="1:10">
      <c r="A13" t="s">
        <v>2537</v>
      </c>
      <c r="B13" t="s">
        <v>1043</v>
      </c>
      <c r="C13" s="2" t="s">
        <v>250</v>
      </c>
      <c r="E13">
        <v>14036.28</v>
      </c>
      <c r="H13">
        <v>1.722</v>
      </c>
      <c r="I13" t="s">
        <v>2174</v>
      </c>
    </row>
    <row r="14" spans="1:10">
      <c r="A14" t="s">
        <v>2537</v>
      </c>
      <c r="B14" t="s">
        <v>1043</v>
      </c>
      <c r="C14" s="2" t="s">
        <v>248</v>
      </c>
      <c r="E14">
        <v>14399.28</v>
      </c>
      <c r="H14">
        <v>2.6509999999999998</v>
      </c>
      <c r="I14" t="s">
        <v>2174</v>
      </c>
    </row>
    <row r="15" spans="1:10">
      <c r="A15" t="s">
        <v>2539</v>
      </c>
      <c r="B15" t="s">
        <v>1060</v>
      </c>
      <c r="C15" s="2" t="s">
        <v>249</v>
      </c>
      <c r="E15">
        <v>15184.04</v>
      </c>
      <c r="H15">
        <v>1.5149999999999999</v>
      </c>
      <c r="I15" t="s">
        <v>2540</v>
      </c>
    </row>
    <row r="16" spans="1:10">
      <c r="A16" t="s">
        <v>2539</v>
      </c>
      <c r="B16" t="s">
        <v>1060</v>
      </c>
      <c r="C16" s="2" t="s">
        <v>250</v>
      </c>
      <c r="E16">
        <v>15774.04</v>
      </c>
      <c r="H16">
        <v>1.476</v>
      </c>
      <c r="I16">
        <v>98</v>
      </c>
    </row>
    <row r="17" spans="1:9">
      <c r="A17" t="s">
        <v>2539</v>
      </c>
      <c r="B17" t="s">
        <v>1060</v>
      </c>
      <c r="C17" s="2" t="s">
        <v>248</v>
      </c>
      <c r="E17">
        <v>16195.68</v>
      </c>
      <c r="H17">
        <v>2.6819999999999999</v>
      </c>
      <c r="I17">
        <v>100</v>
      </c>
    </row>
    <row r="18" spans="1:9">
      <c r="A18" t="s">
        <v>2537</v>
      </c>
      <c r="B18" t="s">
        <v>1047</v>
      </c>
      <c r="C18" s="2" t="s">
        <v>252</v>
      </c>
      <c r="E18">
        <v>16467.900000000001</v>
      </c>
      <c r="H18">
        <v>1.109</v>
      </c>
      <c r="I18" t="s">
        <v>2174</v>
      </c>
    </row>
    <row r="19" spans="1:9">
      <c r="A19" t="s">
        <v>2537</v>
      </c>
      <c r="B19" t="s">
        <v>1047</v>
      </c>
      <c r="C19" s="2" t="s">
        <v>251</v>
      </c>
      <c r="E19">
        <v>17233.68</v>
      </c>
      <c r="H19">
        <v>0.88300000000000001</v>
      </c>
      <c r="I19" t="s">
        <v>2174</v>
      </c>
    </row>
    <row r="20" spans="1:9">
      <c r="A20" t="s">
        <v>2541</v>
      </c>
      <c r="B20" t="s">
        <v>2542</v>
      </c>
      <c r="C20" s="2" t="s">
        <v>250</v>
      </c>
      <c r="E20">
        <v>16470.599999999999</v>
      </c>
      <c r="H20">
        <v>1.101</v>
      </c>
      <c r="I20">
        <v>96</v>
      </c>
    </row>
    <row r="21" spans="1:9">
      <c r="A21" t="s">
        <v>2541</v>
      </c>
      <c r="B21" t="s">
        <v>2542</v>
      </c>
      <c r="C21" s="2" t="s">
        <v>249</v>
      </c>
      <c r="E21">
        <v>16778.16</v>
      </c>
      <c r="H21">
        <v>1.296</v>
      </c>
      <c r="I21" t="s">
        <v>2543</v>
      </c>
    </row>
    <row r="22" spans="1:9">
      <c r="A22" t="s">
        <v>2539</v>
      </c>
      <c r="B22" t="s">
        <v>1050</v>
      </c>
      <c r="C22" s="2" t="s">
        <v>250</v>
      </c>
      <c r="E22">
        <v>18389.57</v>
      </c>
      <c r="H22">
        <v>1.3</v>
      </c>
      <c r="I22">
        <v>98</v>
      </c>
    </row>
    <row r="23" spans="1:9">
      <c r="A23" t="s">
        <v>2539</v>
      </c>
      <c r="B23" t="s">
        <v>1050</v>
      </c>
      <c r="C23" s="2" t="s">
        <v>248</v>
      </c>
      <c r="E23">
        <v>18775.009999999998</v>
      </c>
      <c r="H23">
        <v>0.69499999999999995</v>
      </c>
      <c r="I23">
        <v>100</v>
      </c>
    </row>
    <row r="24" spans="1:9">
      <c r="A24" t="s">
        <v>2537</v>
      </c>
      <c r="B24" t="s">
        <v>1086</v>
      </c>
      <c r="C24" s="2" t="s">
        <v>250</v>
      </c>
      <c r="E24">
        <v>20500.71</v>
      </c>
      <c r="H24">
        <v>1.284</v>
      </c>
      <c r="I24" t="s">
        <v>2174</v>
      </c>
    </row>
    <row r="25" spans="1:9">
      <c r="A25" t="s">
        <v>2537</v>
      </c>
      <c r="B25" t="s">
        <v>1086</v>
      </c>
      <c r="C25" s="2" t="s">
        <v>248</v>
      </c>
      <c r="E25">
        <v>21215.9</v>
      </c>
      <c r="H25">
        <v>0.68</v>
      </c>
      <c r="I25" t="s">
        <v>2174</v>
      </c>
    </row>
    <row r="26" spans="1:9">
      <c r="A26" t="s">
        <v>2537</v>
      </c>
      <c r="B26" t="s">
        <v>1064</v>
      </c>
      <c r="C26" s="2" t="s">
        <v>1702</v>
      </c>
      <c r="E26">
        <v>21780.47</v>
      </c>
      <c r="H26">
        <v>1.1000000000000001</v>
      </c>
      <c r="I26" t="s">
        <v>2174</v>
      </c>
    </row>
    <row r="27" spans="1:9">
      <c r="A27" t="s">
        <v>2537</v>
      </c>
      <c r="B27" t="s">
        <v>1064</v>
      </c>
      <c r="C27" s="2" t="s">
        <v>252</v>
      </c>
      <c r="E27">
        <v>22475.360000000001</v>
      </c>
      <c r="H27">
        <v>0.92100000000000004</v>
      </c>
      <c r="I27" t="s">
        <v>2174</v>
      </c>
    </row>
    <row r="28" spans="1:9">
      <c r="A28" t="s">
        <v>2537</v>
      </c>
      <c r="B28" t="s">
        <v>2544</v>
      </c>
      <c r="C28" s="2" t="s">
        <v>249</v>
      </c>
      <c r="E28">
        <v>21920.09</v>
      </c>
      <c r="H28">
        <v>1.18</v>
      </c>
      <c r="I28" t="s">
        <v>2174</v>
      </c>
    </row>
    <row r="29" spans="1:9">
      <c r="A29" t="s">
        <v>2537</v>
      </c>
      <c r="B29" t="s">
        <v>2544</v>
      </c>
      <c r="C29" s="2" t="s">
        <v>250</v>
      </c>
      <c r="E29">
        <v>23152.57</v>
      </c>
      <c r="H29">
        <v>0.95499999999999996</v>
      </c>
      <c r="I29" t="s">
        <v>2174</v>
      </c>
    </row>
    <row r="30" spans="1:9">
      <c r="A30" t="s">
        <v>2545</v>
      </c>
      <c r="B30" t="s">
        <v>1112</v>
      </c>
      <c r="C30" s="2" t="s">
        <v>252</v>
      </c>
      <c r="E30">
        <v>23184.23</v>
      </c>
      <c r="H30">
        <v>1.0980000000000001</v>
      </c>
      <c r="I30">
        <v>100</v>
      </c>
    </row>
    <row r="31" spans="1:9">
      <c r="A31" t="s">
        <v>2545</v>
      </c>
      <c r="B31" t="s">
        <v>1112</v>
      </c>
      <c r="C31" s="2" t="s">
        <v>251</v>
      </c>
      <c r="E31">
        <v>23207.759999999998</v>
      </c>
      <c r="H31">
        <v>0.88300000000000001</v>
      </c>
      <c r="I31">
        <v>100</v>
      </c>
    </row>
    <row r="32" spans="1:9">
      <c r="A32" t="s">
        <v>2546</v>
      </c>
      <c r="B32" t="s">
        <v>1080</v>
      </c>
      <c r="C32" s="2" t="s">
        <v>1702</v>
      </c>
      <c r="E32">
        <v>23611.78</v>
      </c>
      <c r="H32">
        <v>1.466</v>
      </c>
      <c r="I32">
        <v>97</v>
      </c>
    </row>
    <row r="33" spans="1:9">
      <c r="A33" t="s">
        <v>2546</v>
      </c>
      <c r="B33" t="s">
        <v>1080</v>
      </c>
      <c r="C33" s="2" t="s">
        <v>252</v>
      </c>
      <c r="E33">
        <v>23855.62</v>
      </c>
      <c r="H33">
        <v>1.4810000000000001</v>
      </c>
      <c r="I33" t="s">
        <v>2547</v>
      </c>
    </row>
    <row r="34" spans="1:9">
      <c r="A34" t="s">
        <v>2546</v>
      </c>
      <c r="B34" t="s">
        <v>1080</v>
      </c>
      <c r="C34" s="2" t="s">
        <v>251</v>
      </c>
      <c r="E34">
        <v>24326.11</v>
      </c>
      <c r="H34">
        <v>1.4359999999999999</v>
      </c>
      <c r="I34" t="s">
        <v>2548</v>
      </c>
    </row>
    <row r="35" spans="1:9">
      <c r="A35" t="s">
        <v>2546</v>
      </c>
      <c r="B35" t="s">
        <v>1080</v>
      </c>
      <c r="C35" s="2" t="s">
        <v>249</v>
      </c>
      <c r="E35">
        <v>24733.279999999999</v>
      </c>
      <c r="H35">
        <v>1.3360000000000001</v>
      </c>
      <c r="I35" t="s">
        <v>2549</v>
      </c>
    </row>
    <row r="36" spans="1:9">
      <c r="A36" t="s">
        <v>2546</v>
      </c>
      <c r="B36" t="s">
        <v>1080</v>
      </c>
      <c r="C36" s="2" t="s">
        <v>250</v>
      </c>
      <c r="E36">
        <v>25041.16</v>
      </c>
      <c r="H36">
        <v>1.1180000000000001</v>
      </c>
      <c r="I36">
        <v>95</v>
      </c>
    </row>
    <row r="37" spans="1:9">
      <c r="A37" t="s">
        <v>2546</v>
      </c>
      <c r="B37" t="s">
        <v>1080</v>
      </c>
      <c r="C37" s="2" t="s">
        <v>248</v>
      </c>
      <c r="E37">
        <v>25232.79</v>
      </c>
      <c r="H37">
        <v>-0.622</v>
      </c>
      <c r="I37">
        <v>99</v>
      </c>
    </row>
    <row r="38" spans="1:9">
      <c r="A38" t="s">
        <v>2546</v>
      </c>
      <c r="B38" t="s">
        <v>1075</v>
      </c>
      <c r="C38" s="2" t="s">
        <v>252</v>
      </c>
      <c r="E38">
        <v>24627.79</v>
      </c>
      <c r="H38">
        <v>1.569</v>
      </c>
      <c r="I38" t="s">
        <v>2550</v>
      </c>
    </row>
    <row r="39" spans="1:9">
      <c r="A39" t="s">
        <v>2546</v>
      </c>
      <c r="B39" t="s">
        <v>1075</v>
      </c>
      <c r="C39" s="2" t="s">
        <v>251</v>
      </c>
      <c r="E39">
        <v>25269.25</v>
      </c>
      <c r="H39">
        <v>1.55</v>
      </c>
      <c r="I39" t="s">
        <v>2551</v>
      </c>
    </row>
    <row r="40" spans="1:9">
      <c r="A40" t="s">
        <v>2546</v>
      </c>
      <c r="B40" t="s">
        <v>1075</v>
      </c>
      <c r="C40" s="2" t="s">
        <v>249</v>
      </c>
      <c r="E40">
        <v>25739.93</v>
      </c>
      <c r="H40">
        <v>1.6120000000000001</v>
      </c>
      <c r="I40" t="s">
        <v>2552</v>
      </c>
    </row>
    <row r="41" spans="1:9">
      <c r="A41" t="s">
        <v>2546</v>
      </c>
      <c r="B41" t="s">
        <v>1075</v>
      </c>
      <c r="C41" s="2" t="s">
        <v>250</v>
      </c>
      <c r="E41">
        <v>26063.11</v>
      </c>
      <c r="H41">
        <v>1.8120000000000001</v>
      </c>
      <c r="I41">
        <v>91</v>
      </c>
    </row>
    <row r="42" spans="1:9">
      <c r="A42" t="s">
        <v>2546</v>
      </c>
      <c r="B42" t="s">
        <v>1075</v>
      </c>
      <c r="C42" s="2" t="s">
        <v>248</v>
      </c>
      <c r="E42">
        <v>26250.49</v>
      </c>
      <c r="H42">
        <v>3.286</v>
      </c>
      <c r="I42">
        <v>94</v>
      </c>
    </row>
    <row r="43" spans="1:9">
      <c r="A43" t="s">
        <v>2546</v>
      </c>
      <c r="B43" t="s">
        <v>1072</v>
      </c>
      <c r="C43" s="2" t="s">
        <v>720</v>
      </c>
      <c r="E43">
        <v>25138.880000000001</v>
      </c>
      <c r="H43">
        <v>1.4</v>
      </c>
      <c r="I43">
        <v>100</v>
      </c>
    </row>
    <row r="44" spans="1:9">
      <c r="A44" t="s">
        <v>2546</v>
      </c>
      <c r="B44" t="s">
        <v>1072</v>
      </c>
      <c r="C44" s="2" t="s">
        <v>1702</v>
      </c>
      <c r="E44">
        <v>25568.68</v>
      </c>
      <c r="H44">
        <v>1.3540000000000001</v>
      </c>
      <c r="I44">
        <v>96</v>
      </c>
    </row>
    <row r="45" spans="1:9">
      <c r="A45" t="s">
        <v>2546</v>
      </c>
      <c r="B45" t="s">
        <v>1072</v>
      </c>
      <c r="C45" s="2" t="s">
        <v>252</v>
      </c>
      <c r="E45">
        <v>25937.59</v>
      </c>
      <c r="H45">
        <v>1.2809999999999999</v>
      </c>
      <c r="I45">
        <v>94</v>
      </c>
    </row>
    <row r="46" spans="1:9">
      <c r="A46" t="s">
        <v>2546</v>
      </c>
      <c r="B46" t="s">
        <v>1072</v>
      </c>
      <c r="C46" s="2" t="s">
        <v>251</v>
      </c>
      <c r="E46">
        <v>26232.05</v>
      </c>
      <c r="H46">
        <v>1.1499999999999999</v>
      </c>
      <c r="I46">
        <v>94</v>
      </c>
    </row>
    <row r="47" spans="1:9">
      <c r="A47" t="s">
        <v>2546</v>
      </c>
      <c r="B47" t="s">
        <v>1072</v>
      </c>
      <c r="C47" s="2" t="s">
        <v>249</v>
      </c>
      <c r="E47">
        <v>26450.02</v>
      </c>
      <c r="H47">
        <v>0.876</v>
      </c>
      <c r="I47">
        <v>95</v>
      </c>
    </row>
    <row r="48" spans="1:9">
      <c r="A48" t="s">
        <v>2546</v>
      </c>
      <c r="B48" t="s">
        <v>1072</v>
      </c>
      <c r="C48" s="2" t="s">
        <v>250</v>
      </c>
      <c r="E48">
        <v>26597.64</v>
      </c>
      <c r="H48">
        <v>6.0000000000000001E-3</v>
      </c>
      <c r="I48">
        <v>97</v>
      </c>
    </row>
    <row r="49" spans="1:9">
      <c r="A49" t="s">
        <v>2553</v>
      </c>
      <c r="B49" t="s">
        <v>2554</v>
      </c>
      <c r="C49" s="2" t="s">
        <v>249</v>
      </c>
      <c r="E49">
        <v>27497.06</v>
      </c>
      <c r="H49">
        <v>1.2</v>
      </c>
      <c r="I49" t="s">
        <v>2174</v>
      </c>
    </row>
    <row r="50" spans="1:9">
      <c r="A50" t="s">
        <v>2553</v>
      </c>
      <c r="B50" t="s">
        <v>2554</v>
      </c>
      <c r="C50" s="2" t="s">
        <v>250</v>
      </c>
      <c r="E50">
        <v>28470.51</v>
      </c>
      <c r="H50">
        <v>0.90700000000000003</v>
      </c>
      <c r="I50" t="s">
        <v>2174</v>
      </c>
    </row>
    <row r="51" spans="1:9">
      <c r="A51" t="s">
        <v>2546</v>
      </c>
      <c r="B51" t="s">
        <v>1124</v>
      </c>
      <c r="C51" s="2" t="s">
        <v>252</v>
      </c>
      <c r="E51">
        <v>28345.86</v>
      </c>
      <c r="H51">
        <v>1.33</v>
      </c>
      <c r="I51" t="s">
        <v>2555</v>
      </c>
    </row>
    <row r="52" spans="1:9">
      <c r="A52" t="s">
        <v>2546</v>
      </c>
      <c r="B52" t="s">
        <v>1124</v>
      </c>
      <c r="C52" s="2" t="s">
        <v>251</v>
      </c>
      <c r="E52">
        <v>28777.27</v>
      </c>
      <c r="H52">
        <v>1.2470000000000001</v>
      </c>
      <c r="I52" t="s">
        <v>2556</v>
      </c>
    </row>
    <row r="53" spans="1:9">
      <c r="A53" t="s">
        <v>2546</v>
      </c>
      <c r="B53" t="s">
        <v>1124</v>
      </c>
      <c r="C53" s="2" t="s">
        <v>249</v>
      </c>
      <c r="E53">
        <v>29216.37</v>
      </c>
      <c r="H53">
        <v>1.0329999999999999</v>
      </c>
      <c r="I53" t="s">
        <v>2557</v>
      </c>
    </row>
    <row r="54" spans="1:9">
      <c r="A54" t="s">
        <v>2546</v>
      </c>
      <c r="B54" t="s">
        <v>1124</v>
      </c>
      <c r="C54" s="2" t="s">
        <v>250</v>
      </c>
      <c r="E54">
        <v>29563.17</v>
      </c>
      <c r="H54">
        <v>0.41</v>
      </c>
      <c r="I54" t="s">
        <v>2558</v>
      </c>
    </row>
    <row r="55" spans="1:9">
      <c r="A55" t="s">
        <v>2546</v>
      </c>
      <c r="B55" t="s">
        <v>1115</v>
      </c>
      <c r="C55" s="2" t="s">
        <v>1702</v>
      </c>
      <c r="E55">
        <v>28845.22</v>
      </c>
      <c r="H55">
        <v>1.276</v>
      </c>
      <c r="I55">
        <v>95</v>
      </c>
    </row>
    <row r="56" spans="1:9">
      <c r="A56" t="s">
        <v>2546</v>
      </c>
      <c r="B56" t="s">
        <v>1115</v>
      </c>
      <c r="C56" s="2" t="s">
        <v>252</v>
      </c>
      <c r="E56">
        <v>29269.73</v>
      </c>
      <c r="H56">
        <v>1.175</v>
      </c>
      <c r="I56">
        <v>90</v>
      </c>
    </row>
    <row r="57" spans="1:9">
      <c r="A57" t="s">
        <v>2546</v>
      </c>
      <c r="B57" t="s">
        <v>1115</v>
      </c>
      <c r="C57" s="2" t="s">
        <v>251</v>
      </c>
      <c r="E57">
        <v>29735.18</v>
      </c>
      <c r="H57">
        <v>0.995</v>
      </c>
      <c r="I57">
        <v>91</v>
      </c>
    </row>
    <row r="58" spans="1:9">
      <c r="A58" t="s">
        <v>2546</v>
      </c>
      <c r="B58" t="s">
        <v>1115</v>
      </c>
      <c r="C58" s="2" t="s">
        <v>249</v>
      </c>
      <c r="E58">
        <v>30102.959999999999</v>
      </c>
      <c r="H58">
        <v>0.57699999999999996</v>
      </c>
      <c r="I58">
        <v>94</v>
      </c>
    </row>
    <row r="59" spans="1:9">
      <c r="A59" t="s">
        <v>2546</v>
      </c>
      <c r="B59" t="s">
        <v>1098</v>
      </c>
      <c r="C59" s="2" t="s">
        <v>251</v>
      </c>
      <c r="E59">
        <v>29294.52</v>
      </c>
      <c r="H59">
        <v>1.425</v>
      </c>
      <c r="I59" t="s">
        <v>2559</v>
      </c>
    </row>
    <row r="60" spans="1:9">
      <c r="A60" t="s">
        <v>2546</v>
      </c>
      <c r="B60" t="s">
        <v>1098</v>
      </c>
      <c r="C60" s="2" t="s">
        <v>249</v>
      </c>
      <c r="E60">
        <v>29948.76</v>
      </c>
      <c r="H60">
        <v>1.359</v>
      </c>
      <c r="I60" t="s">
        <v>2560</v>
      </c>
    </row>
    <row r="61" spans="1:9">
      <c r="A61" t="s">
        <v>2546</v>
      </c>
      <c r="B61" t="s">
        <v>1098</v>
      </c>
      <c r="C61" s="2" t="s">
        <v>250</v>
      </c>
      <c r="E61">
        <v>30443.63</v>
      </c>
      <c r="H61">
        <v>1.1919999999999999</v>
      </c>
      <c r="I61" t="s">
        <v>2561</v>
      </c>
    </row>
    <row r="62" spans="1:9">
      <c r="A62" t="s">
        <v>2546</v>
      </c>
      <c r="B62" t="s">
        <v>1098</v>
      </c>
      <c r="C62" s="2" t="s">
        <v>248</v>
      </c>
      <c r="E62">
        <v>30742.65</v>
      </c>
      <c r="H62">
        <v>-6.0000000000000001E-3</v>
      </c>
      <c r="I62" t="s">
        <v>2562</v>
      </c>
    </row>
    <row r="63" spans="1:9">
      <c r="A63" t="s">
        <v>2546</v>
      </c>
      <c r="B63" t="s">
        <v>1158</v>
      </c>
      <c r="C63" s="2" t="s">
        <v>252</v>
      </c>
      <c r="E63">
        <v>31699.69</v>
      </c>
      <c r="H63">
        <v>1.1259999999999999</v>
      </c>
      <c r="I63" t="s">
        <v>2563</v>
      </c>
    </row>
    <row r="64" spans="1:9">
      <c r="A64" t="s">
        <v>2546</v>
      </c>
      <c r="B64" t="s">
        <v>1158</v>
      </c>
      <c r="C64" s="2" t="s">
        <v>251</v>
      </c>
      <c r="E64">
        <v>32733.07</v>
      </c>
      <c r="H64">
        <v>0.89900000000000002</v>
      </c>
      <c r="I64" t="s">
        <v>2564</v>
      </c>
    </row>
    <row r="65" spans="1:9">
      <c r="A65" t="s">
        <v>2546</v>
      </c>
      <c r="B65" t="s">
        <v>1174</v>
      </c>
      <c r="C65" s="2" t="s">
        <v>251</v>
      </c>
      <c r="E65">
        <v>31871.15</v>
      </c>
      <c r="H65">
        <v>1.7769999999999999</v>
      </c>
      <c r="I65" t="s">
        <v>2565</v>
      </c>
    </row>
    <row r="66" spans="1:9">
      <c r="A66" t="s">
        <v>2546</v>
      </c>
      <c r="B66" t="s">
        <v>1174</v>
      </c>
      <c r="C66" s="2" t="s">
        <v>249</v>
      </c>
      <c r="E66">
        <v>32781.71</v>
      </c>
      <c r="H66">
        <v>0.87</v>
      </c>
      <c r="I66" t="s">
        <v>2566</v>
      </c>
    </row>
    <row r="67" spans="1:9">
      <c r="A67" t="s">
        <v>2567</v>
      </c>
      <c r="B67" t="s">
        <v>1161</v>
      </c>
      <c r="C67" s="2" t="s">
        <v>251</v>
      </c>
      <c r="E67">
        <v>32027.5</v>
      </c>
      <c r="H67">
        <v>1.395</v>
      </c>
      <c r="I67" t="s">
        <v>2568</v>
      </c>
    </row>
    <row r="68" spans="1:9">
      <c r="A68" t="s">
        <v>2567</v>
      </c>
      <c r="B68" t="s">
        <v>1161</v>
      </c>
      <c r="C68" s="2" t="s">
        <v>249</v>
      </c>
      <c r="E68">
        <v>32654.5</v>
      </c>
      <c r="H68">
        <v>1.3660000000000001</v>
      </c>
      <c r="I68" t="s">
        <v>2569</v>
      </c>
    </row>
    <row r="69" spans="1:9">
      <c r="A69" t="s">
        <v>2567</v>
      </c>
      <c r="B69" t="s">
        <v>1161</v>
      </c>
      <c r="C69" s="2" t="s">
        <v>250</v>
      </c>
      <c r="E69">
        <v>33150.68</v>
      </c>
      <c r="H69">
        <v>1.1950000000000001</v>
      </c>
      <c r="I69" t="s">
        <v>2570</v>
      </c>
    </row>
    <row r="70" spans="1:9">
      <c r="A70" t="s">
        <v>2567</v>
      </c>
      <c r="B70" t="s">
        <v>1161</v>
      </c>
      <c r="C70" s="2" t="s">
        <v>248</v>
      </c>
      <c r="E70">
        <v>33449.18</v>
      </c>
      <c r="H70">
        <v>1.2E-2</v>
      </c>
      <c r="I70" t="s">
        <v>2571</v>
      </c>
    </row>
    <row r="71" spans="1:9">
      <c r="A71" t="s">
        <v>2567</v>
      </c>
      <c r="B71" t="s">
        <v>1189</v>
      </c>
      <c r="C71" s="2" t="s">
        <v>1702</v>
      </c>
      <c r="E71">
        <v>32430.59</v>
      </c>
      <c r="H71">
        <v>1.2869999999999999</v>
      </c>
      <c r="I71">
        <v>94</v>
      </c>
    </row>
    <row r="72" spans="1:9">
      <c r="A72" t="s">
        <v>2567</v>
      </c>
      <c r="B72" t="s">
        <v>1189</v>
      </c>
      <c r="C72" s="2" t="s">
        <v>252</v>
      </c>
      <c r="E72">
        <v>32464.73</v>
      </c>
      <c r="H72">
        <v>1.1539999999999999</v>
      </c>
      <c r="I72" t="s">
        <v>2572</v>
      </c>
    </row>
    <row r="73" spans="1:9">
      <c r="A73" t="s">
        <v>2567</v>
      </c>
      <c r="B73" t="s">
        <v>1189</v>
      </c>
      <c r="C73" s="2" t="s">
        <v>249</v>
      </c>
      <c r="E73">
        <v>33674.379999999997</v>
      </c>
      <c r="H73">
        <v>0.70399999999999996</v>
      </c>
      <c r="I73" t="s">
        <v>2573</v>
      </c>
    </row>
    <row r="74" spans="1:9">
      <c r="A74" t="s">
        <v>2567</v>
      </c>
      <c r="B74" t="s">
        <v>1152</v>
      </c>
      <c r="C74" s="2" t="s">
        <v>252</v>
      </c>
      <c r="E74">
        <v>32841.99</v>
      </c>
      <c r="H74">
        <v>1.3129999999999999</v>
      </c>
      <c r="I74" t="s">
        <v>2574</v>
      </c>
    </row>
    <row r="75" spans="1:9">
      <c r="A75" t="s">
        <v>2567</v>
      </c>
      <c r="B75" t="s">
        <v>1152</v>
      </c>
      <c r="C75" s="2" t="s">
        <v>250</v>
      </c>
      <c r="E75">
        <v>34196.21</v>
      </c>
      <c r="H75">
        <v>0.43</v>
      </c>
      <c r="I75" t="s">
        <v>2575</v>
      </c>
    </row>
    <row r="76" spans="1:9">
      <c r="A76" t="s">
        <v>2567</v>
      </c>
      <c r="B76" t="s">
        <v>291</v>
      </c>
      <c r="C76" s="2" t="s">
        <v>251</v>
      </c>
      <c r="E76">
        <v>33173.360000000001</v>
      </c>
      <c r="H76">
        <v>1.0389999999999999</v>
      </c>
      <c r="I76" t="s">
        <v>2576</v>
      </c>
    </row>
    <row r="77" spans="1:9">
      <c r="A77" t="s">
        <v>2567</v>
      </c>
      <c r="B77" t="s">
        <v>1243</v>
      </c>
      <c r="C77" s="2" t="s">
        <v>252</v>
      </c>
      <c r="E77">
        <v>33439.72</v>
      </c>
      <c r="H77">
        <v>1.165</v>
      </c>
      <c r="I77" t="s">
        <v>2577</v>
      </c>
    </row>
    <row r="78" spans="1:9">
      <c r="A78" t="s">
        <v>2567</v>
      </c>
      <c r="B78" t="s">
        <v>1243</v>
      </c>
      <c r="C78" s="2" t="s">
        <v>251</v>
      </c>
      <c r="E78">
        <v>34133.589999999997</v>
      </c>
      <c r="H78">
        <v>0.91700000000000004</v>
      </c>
      <c r="I78" t="s">
        <v>2578</v>
      </c>
    </row>
    <row r="79" spans="1:9">
      <c r="A79" t="s">
        <v>2546</v>
      </c>
      <c r="B79" t="s">
        <v>1130</v>
      </c>
      <c r="C79" s="2" t="s">
        <v>249</v>
      </c>
      <c r="E79">
        <v>33462.83</v>
      </c>
      <c r="H79">
        <v>1.1859999999999999</v>
      </c>
      <c r="I79" t="s">
        <v>2579</v>
      </c>
    </row>
    <row r="80" spans="1:9">
      <c r="A80" t="s">
        <v>2546</v>
      </c>
      <c r="B80" t="s">
        <v>1130</v>
      </c>
      <c r="C80" s="2" t="s">
        <v>250</v>
      </c>
      <c r="E80">
        <v>34352.42</v>
      </c>
      <c r="H80">
        <v>0.78700000000000003</v>
      </c>
      <c r="I80" t="s">
        <v>2580</v>
      </c>
    </row>
    <row r="81" spans="1:9">
      <c r="A81" t="s">
        <v>2567</v>
      </c>
      <c r="B81" t="s">
        <v>291</v>
      </c>
      <c r="C81" s="2" t="s">
        <v>251</v>
      </c>
      <c r="E81">
        <v>33466.870000000003</v>
      </c>
      <c r="H81">
        <v>1.155</v>
      </c>
      <c r="I81" t="s">
        <v>2581</v>
      </c>
    </row>
    <row r="82" spans="1:9">
      <c r="A82" t="s">
        <v>2567</v>
      </c>
      <c r="B82" t="s">
        <v>291</v>
      </c>
      <c r="C82" s="2" t="s">
        <v>249</v>
      </c>
      <c r="E82">
        <v>33945.9</v>
      </c>
      <c r="H82">
        <v>0.9</v>
      </c>
      <c r="I82" t="s">
        <v>2582</v>
      </c>
    </row>
    <row r="83" spans="1:9">
      <c r="A83" t="s">
        <v>2567</v>
      </c>
      <c r="B83" t="s">
        <v>1249</v>
      </c>
      <c r="C83" s="2" t="s">
        <v>251</v>
      </c>
      <c r="E83">
        <v>35450.559999999998</v>
      </c>
      <c r="H83">
        <v>1.145</v>
      </c>
      <c r="I83" t="s">
        <v>2583</v>
      </c>
    </row>
    <row r="84" spans="1:9">
      <c r="A84" t="s">
        <v>2567</v>
      </c>
      <c r="B84" t="s">
        <v>1249</v>
      </c>
      <c r="C84" s="2" t="s">
        <v>249</v>
      </c>
      <c r="E84">
        <v>36329.86</v>
      </c>
      <c r="H84">
        <v>0.89200000000000002</v>
      </c>
      <c r="I84" t="s">
        <v>2584</v>
      </c>
    </row>
    <row r="85" spans="1:9">
      <c r="A85" t="s">
        <v>2567</v>
      </c>
      <c r="B85" t="s">
        <v>2404</v>
      </c>
      <c r="C85" s="2" t="s">
        <v>249</v>
      </c>
      <c r="E85">
        <v>36092.44</v>
      </c>
      <c r="H85">
        <v>1.1859999999999999</v>
      </c>
      <c r="I85" t="s">
        <v>2585</v>
      </c>
    </row>
    <row r="86" spans="1:9">
      <c r="A86" t="s">
        <v>2567</v>
      </c>
      <c r="B86" t="s">
        <v>2404</v>
      </c>
      <c r="C86" s="2" t="s">
        <v>250</v>
      </c>
      <c r="E86">
        <v>36875.129999999997</v>
      </c>
      <c r="H86">
        <v>0.79400000000000004</v>
      </c>
      <c r="I86" t="s">
        <v>2586</v>
      </c>
    </row>
    <row r="87" spans="1:9">
      <c r="A87" t="s">
        <v>2587</v>
      </c>
      <c r="B87" t="s">
        <v>1221</v>
      </c>
      <c r="C87" s="2" t="s">
        <v>251</v>
      </c>
      <c r="E87">
        <v>39649.160000000003</v>
      </c>
      <c r="H87">
        <v>1.4279999999999999</v>
      </c>
      <c r="I87" t="s">
        <v>2588</v>
      </c>
    </row>
    <row r="88" spans="1:9">
      <c r="A88" t="s">
        <v>2587</v>
      </c>
      <c r="B88" t="s">
        <v>1221</v>
      </c>
      <c r="C88" s="2" t="s">
        <v>249</v>
      </c>
      <c r="E88">
        <v>40345.949999999997</v>
      </c>
      <c r="H88">
        <v>1.37</v>
      </c>
      <c r="I88" t="s">
        <v>2589</v>
      </c>
    </row>
    <row r="89" spans="1:9">
      <c r="A89" t="s">
        <v>2587</v>
      </c>
      <c r="B89" t="s">
        <v>1221</v>
      </c>
      <c r="C89" s="2" t="s">
        <v>250</v>
      </c>
      <c r="E89">
        <v>40827.769999999997</v>
      </c>
      <c r="H89">
        <v>1.24</v>
      </c>
      <c r="I89" t="s">
        <v>2590</v>
      </c>
    </row>
    <row r="90" spans="1:9">
      <c r="A90" t="s">
        <v>2587</v>
      </c>
      <c r="B90" t="s">
        <v>1221</v>
      </c>
      <c r="C90" s="2" t="s">
        <v>248</v>
      </c>
      <c r="E90">
        <v>41101.800000000003</v>
      </c>
      <c r="H90">
        <v>2.5999999999999999E-2</v>
      </c>
      <c r="I90" t="s">
        <v>2591</v>
      </c>
    </row>
    <row r="91" spans="1:9">
      <c r="A91" t="s">
        <v>2592</v>
      </c>
      <c r="B91" t="s">
        <v>2256</v>
      </c>
      <c r="C91" s="2" t="s">
        <v>250</v>
      </c>
      <c r="E91">
        <v>40621.620000000003</v>
      </c>
      <c r="H91">
        <v>2.0169999999999999</v>
      </c>
      <c r="I91" t="s">
        <v>2593</v>
      </c>
    </row>
    <row r="92" spans="1:9">
      <c r="A92" t="s">
        <v>2592</v>
      </c>
      <c r="B92" t="s">
        <v>1481</v>
      </c>
      <c r="C92" s="2" t="s">
        <v>251</v>
      </c>
      <c r="E92">
        <v>41041.43</v>
      </c>
      <c r="H92">
        <v>1.4</v>
      </c>
      <c r="I92">
        <v>97</v>
      </c>
    </row>
    <row r="93" spans="1:9">
      <c r="A93" t="s">
        <v>2592</v>
      </c>
      <c r="B93" t="s">
        <v>1481</v>
      </c>
      <c r="C93" s="2" t="s">
        <v>249</v>
      </c>
      <c r="E93">
        <v>41104.959999999999</v>
      </c>
      <c r="H93">
        <v>1.863</v>
      </c>
      <c r="I93">
        <v>93</v>
      </c>
    </row>
    <row r="94" spans="1:9">
      <c r="A94" t="s">
        <v>2587</v>
      </c>
      <c r="B94" t="s">
        <v>1196</v>
      </c>
      <c r="C94" s="2" t="s">
        <v>252</v>
      </c>
      <c r="E94">
        <v>41225.760000000002</v>
      </c>
      <c r="H94">
        <v>1.319</v>
      </c>
      <c r="I94" t="s">
        <v>2594</v>
      </c>
    </row>
    <row r="95" spans="1:9">
      <c r="A95" t="s">
        <v>2587</v>
      </c>
      <c r="B95" t="s">
        <v>1196</v>
      </c>
      <c r="C95" s="2" t="s">
        <v>251</v>
      </c>
      <c r="E95">
        <v>41918.410000000003</v>
      </c>
      <c r="H95">
        <v>1.248</v>
      </c>
      <c r="I95" t="s">
        <v>2595</v>
      </c>
    </row>
    <row r="96" spans="1:9">
      <c r="A96" t="s">
        <v>2587</v>
      </c>
      <c r="B96" t="s">
        <v>1196</v>
      </c>
      <c r="C96" s="2" t="s">
        <v>249</v>
      </c>
      <c r="E96">
        <v>42434.23</v>
      </c>
      <c r="H96">
        <v>1.024</v>
      </c>
      <c r="I96" t="s">
        <v>2596</v>
      </c>
    </row>
    <row r="97" spans="1:9">
      <c r="A97" t="s">
        <v>2587</v>
      </c>
      <c r="B97" t="s">
        <v>1196</v>
      </c>
      <c r="C97" s="2" t="s">
        <v>250</v>
      </c>
      <c r="E97">
        <v>42796.67</v>
      </c>
      <c r="H97">
        <v>0.40600000000000003</v>
      </c>
      <c r="I97" t="s">
        <v>2597</v>
      </c>
    </row>
    <row r="98" spans="1:9">
      <c r="A98" t="s">
        <v>2587</v>
      </c>
      <c r="B98" t="s">
        <v>1207</v>
      </c>
      <c r="C98" s="2" t="s">
        <v>1702</v>
      </c>
      <c r="E98">
        <v>41528.53</v>
      </c>
      <c r="H98">
        <v>1.2909999999999999</v>
      </c>
      <c r="I98">
        <v>95</v>
      </c>
    </row>
    <row r="99" spans="1:9">
      <c r="A99" t="s">
        <v>2587</v>
      </c>
      <c r="B99" t="s">
        <v>1207</v>
      </c>
      <c r="C99" s="2" t="s">
        <v>252</v>
      </c>
      <c r="E99">
        <v>42269.32</v>
      </c>
      <c r="H99">
        <v>1.169</v>
      </c>
      <c r="I99">
        <v>93</v>
      </c>
    </row>
    <row r="100" spans="1:9">
      <c r="A100" t="s">
        <v>2587</v>
      </c>
      <c r="B100" t="s">
        <v>1207</v>
      </c>
      <c r="C100" s="2" t="s">
        <v>251</v>
      </c>
      <c r="E100">
        <v>42811.44</v>
      </c>
      <c r="H100">
        <v>1.004</v>
      </c>
      <c r="I100">
        <v>92</v>
      </c>
    </row>
    <row r="101" spans="1:9">
      <c r="A101" t="s">
        <v>2587</v>
      </c>
      <c r="B101" t="s">
        <v>1207</v>
      </c>
      <c r="C101" s="2" t="s">
        <v>249</v>
      </c>
      <c r="E101">
        <v>43199.65</v>
      </c>
      <c r="H101">
        <v>0.64900000000000002</v>
      </c>
      <c r="I101">
        <v>93</v>
      </c>
    </row>
    <row r="102" spans="1:9">
      <c r="A102" t="s">
        <v>2598</v>
      </c>
      <c r="B102" t="s">
        <v>1143</v>
      </c>
      <c r="C102" s="2" t="s">
        <v>249</v>
      </c>
      <c r="E102">
        <v>41968.89</v>
      </c>
      <c r="H102">
        <v>1.627</v>
      </c>
      <c r="I102" t="s">
        <v>2599</v>
      </c>
    </row>
    <row r="103" spans="1:9">
      <c r="A103" t="s">
        <v>2598</v>
      </c>
      <c r="B103" t="s">
        <v>1143</v>
      </c>
      <c r="C103" s="2" t="s">
        <v>248</v>
      </c>
      <c r="E103">
        <v>41969.9</v>
      </c>
      <c r="H103">
        <v>2.5099999999999998</v>
      </c>
      <c r="I103" t="s">
        <v>2600</v>
      </c>
    </row>
    <row r="104" spans="1:9">
      <c r="A104" t="s">
        <v>2598</v>
      </c>
      <c r="B104" t="s">
        <v>1143</v>
      </c>
      <c r="C104" s="2" t="s">
        <v>250</v>
      </c>
      <c r="E104">
        <v>41982.66</v>
      </c>
      <c r="H104">
        <v>1.732</v>
      </c>
      <c r="I104" t="s">
        <v>2601</v>
      </c>
    </row>
    <row r="105" spans="1:9">
      <c r="A105" t="s">
        <v>2602</v>
      </c>
      <c r="B105" t="s">
        <v>2603</v>
      </c>
      <c r="C105" s="2" t="s">
        <v>251</v>
      </c>
      <c r="E105">
        <v>42988.12</v>
      </c>
      <c r="I105">
        <v>95</v>
      </c>
    </row>
    <row r="106" spans="1:9">
      <c r="A106" t="s">
        <v>2604</v>
      </c>
      <c r="B106" t="s">
        <v>1234</v>
      </c>
      <c r="C106" s="2" t="s">
        <v>248</v>
      </c>
      <c r="E106">
        <v>43130.239999999998</v>
      </c>
      <c r="H106">
        <v>0.72699999999999998</v>
      </c>
      <c r="I106" t="s">
        <v>2605</v>
      </c>
    </row>
    <row r="107" spans="1:9">
      <c r="A107" t="s">
        <v>2592</v>
      </c>
      <c r="B107" t="s">
        <v>1255</v>
      </c>
      <c r="C107" s="2" t="s">
        <v>249</v>
      </c>
      <c r="E107">
        <v>43242.95</v>
      </c>
      <c r="H107">
        <v>1.101</v>
      </c>
      <c r="I107" t="s">
        <v>2606</v>
      </c>
    </row>
    <row r="108" spans="1:9">
      <c r="A108" t="s">
        <v>2592</v>
      </c>
      <c r="B108" t="s">
        <v>1255</v>
      </c>
      <c r="C108" s="2" t="s">
        <v>250</v>
      </c>
      <c r="E108">
        <v>43263.57</v>
      </c>
      <c r="H108">
        <v>1.1910000000000001</v>
      </c>
      <c r="I108" t="s">
        <v>2607</v>
      </c>
    </row>
    <row r="109" spans="1:9">
      <c r="A109" t="s">
        <v>2592</v>
      </c>
      <c r="B109" t="s">
        <v>1255</v>
      </c>
      <c r="C109" s="2" t="s">
        <v>251</v>
      </c>
      <c r="E109">
        <v>43398.62</v>
      </c>
      <c r="H109">
        <v>1.3340000000000001</v>
      </c>
      <c r="I109" t="s">
        <v>2608</v>
      </c>
    </row>
    <row r="110" spans="1:9">
      <c r="A110" t="s">
        <v>2592</v>
      </c>
      <c r="B110" t="s">
        <v>1255</v>
      </c>
      <c r="C110" s="2" t="s">
        <v>248</v>
      </c>
      <c r="E110">
        <v>43435.58</v>
      </c>
      <c r="H110">
        <v>0.16900000000000001</v>
      </c>
      <c r="I110" t="s">
        <v>2609</v>
      </c>
    </row>
    <row r="111" spans="1:9">
      <c r="A111" t="s">
        <v>2602</v>
      </c>
      <c r="B111" t="s">
        <v>1238</v>
      </c>
      <c r="C111" s="2" t="s">
        <v>252</v>
      </c>
      <c r="E111">
        <v>43295.32</v>
      </c>
      <c r="H111">
        <v>1.2949999999999999</v>
      </c>
      <c r="I111" t="s">
        <v>2610</v>
      </c>
    </row>
    <row r="112" spans="1:9">
      <c r="A112" t="s">
        <v>2602</v>
      </c>
      <c r="B112" t="s">
        <v>1238</v>
      </c>
      <c r="C112" s="2" t="s">
        <v>250</v>
      </c>
      <c r="E112">
        <v>44555.71</v>
      </c>
      <c r="H112">
        <v>0.41499999999999998</v>
      </c>
      <c r="I112" t="s">
        <v>2611</v>
      </c>
    </row>
    <row r="113" spans="1:9">
      <c r="A113" t="s">
        <v>2604</v>
      </c>
      <c r="B113" t="s">
        <v>291</v>
      </c>
      <c r="C113" s="2" t="s">
        <v>249</v>
      </c>
      <c r="E113">
        <v>43425.71</v>
      </c>
      <c r="H113">
        <v>1.119</v>
      </c>
      <c r="I113" t="s">
        <v>2612</v>
      </c>
    </row>
    <row r="114" spans="1:9">
      <c r="A114" t="s">
        <v>2604</v>
      </c>
      <c r="B114" t="s">
        <v>291</v>
      </c>
      <c r="C114" s="2" t="s">
        <v>250</v>
      </c>
      <c r="E114">
        <v>43537.71</v>
      </c>
      <c r="H114">
        <v>1.1200000000000001</v>
      </c>
      <c r="I114" t="s">
        <v>2613</v>
      </c>
    </row>
    <row r="115" spans="1:9">
      <c r="A115" t="s">
        <v>2604</v>
      </c>
      <c r="B115" t="s">
        <v>1296</v>
      </c>
      <c r="C115" s="2" t="s">
        <v>251</v>
      </c>
      <c r="E115">
        <v>43555.22</v>
      </c>
      <c r="H115">
        <v>1.2290000000000001</v>
      </c>
      <c r="I115" t="s">
        <v>2614</v>
      </c>
    </row>
    <row r="116" spans="1:9">
      <c r="A116" t="s">
        <v>2602</v>
      </c>
      <c r="B116" t="s">
        <v>291</v>
      </c>
      <c r="C116" s="2" t="s">
        <v>251</v>
      </c>
      <c r="E116">
        <v>43847.98</v>
      </c>
      <c r="H116">
        <v>1.1970000000000001</v>
      </c>
      <c r="I116" t="s">
        <v>2615</v>
      </c>
    </row>
    <row r="117" spans="1:9">
      <c r="A117" t="s">
        <v>2604</v>
      </c>
      <c r="B117" t="s">
        <v>1293</v>
      </c>
      <c r="C117" s="2" t="s">
        <v>250</v>
      </c>
      <c r="E117">
        <v>43911.360000000001</v>
      </c>
      <c r="H117">
        <v>1.127</v>
      </c>
      <c r="I117" t="s">
        <v>2616</v>
      </c>
    </row>
    <row r="118" spans="1:9">
      <c r="A118" t="s">
        <v>2604</v>
      </c>
      <c r="B118" t="s">
        <v>1293</v>
      </c>
      <c r="C118" s="2" t="s">
        <v>249</v>
      </c>
      <c r="E118">
        <v>43921.89</v>
      </c>
      <c r="H118">
        <v>1.23</v>
      </c>
      <c r="I118" t="s">
        <v>2617</v>
      </c>
    </row>
    <row r="119" spans="1:9">
      <c r="A119" t="s">
        <v>2602</v>
      </c>
      <c r="B119" t="s">
        <v>1299</v>
      </c>
      <c r="C119" s="2" t="s">
        <v>1702</v>
      </c>
      <c r="E119">
        <v>43952.06</v>
      </c>
      <c r="F119" t="s">
        <v>34</v>
      </c>
      <c r="H119">
        <v>1.2789999999999999</v>
      </c>
      <c r="I119">
        <v>93</v>
      </c>
    </row>
    <row r="120" spans="1:9">
      <c r="A120" t="s">
        <v>2602</v>
      </c>
      <c r="B120" t="s">
        <v>1299</v>
      </c>
      <c r="C120" s="2" t="s">
        <v>252</v>
      </c>
      <c r="E120">
        <v>44183.34</v>
      </c>
      <c r="H120">
        <v>1.163</v>
      </c>
      <c r="I120" t="s">
        <v>2618</v>
      </c>
    </row>
    <row r="121" spans="1:9">
      <c r="A121" t="s">
        <v>2602</v>
      </c>
      <c r="B121" t="s">
        <v>1299</v>
      </c>
      <c r="C121" s="2" t="s">
        <v>251</v>
      </c>
      <c r="E121">
        <v>44394.47</v>
      </c>
      <c r="H121">
        <v>1.004</v>
      </c>
      <c r="I121" t="s">
        <v>2619</v>
      </c>
    </row>
    <row r="122" spans="1:9">
      <c r="A122" t="s">
        <v>2602</v>
      </c>
      <c r="B122" t="s">
        <v>1299</v>
      </c>
      <c r="C122" s="2" t="s">
        <v>249</v>
      </c>
      <c r="E122">
        <v>44568.47</v>
      </c>
      <c r="H122">
        <v>0.67600000000000005</v>
      </c>
      <c r="I122" t="s">
        <v>2620</v>
      </c>
    </row>
    <row r="123" spans="1:9">
      <c r="B123" t="s">
        <v>105</v>
      </c>
      <c r="C123" s="2" t="s">
        <v>251</v>
      </c>
      <c r="E123">
        <v>43969.9</v>
      </c>
      <c r="H123">
        <v>1.081</v>
      </c>
      <c r="I123" t="s">
        <v>2174</v>
      </c>
    </row>
    <row r="124" spans="1:9">
      <c r="A124" t="s">
        <v>2602</v>
      </c>
      <c r="B124" t="s">
        <v>291</v>
      </c>
      <c r="C124" s="2" t="s">
        <v>249</v>
      </c>
      <c r="E124">
        <v>44201.919999999998</v>
      </c>
      <c r="H124">
        <v>0.95</v>
      </c>
      <c r="I124" t="s">
        <v>2621</v>
      </c>
    </row>
    <row r="125" spans="1:9">
      <c r="B125" t="s">
        <v>2622</v>
      </c>
      <c r="C125" s="2" t="s">
        <v>250</v>
      </c>
      <c r="E125">
        <v>44381.32</v>
      </c>
      <c r="F125" t="s">
        <v>34</v>
      </c>
      <c r="I125" t="s">
        <v>2174</v>
      </c>
    </row>
    <row r="126" spans="1:9">
      <c r="A126" t="s">
        <v>2592</v>
      </c>
      <c r="B126" t="s">
        <v>2623</v>
      </c>
      <c r="C126" s="2" t="s">
        <v>248</v>
      </c>
      <c r="E126">
        <v>44454.51</v>
      </c>
      <c r="H126">
        <v>2.1</v>
      </c>
      <c r="I126" t="s">
        <v>2624</v>
      </c>
    </row>
    <row r="127" spans="1:9">
      <c r="A127" t="s">
        <v>2625</v>
      </c>
      <c r="B127" t="s">
        <v>1184</v>
      </c>
      <c r="C127" s="2" t="s">
        <v>249</v>
      </c>
      <c r="E127">
        <v>44480.14</v>
      </c>
      <c r="H127">
        <v>1.5569999999999999</v>
      </c>
      <c r="I127" t="s">
        <v>2626</v>
      </c>
    </row>
    <row r="128" spans="1:9">
      <c r="A128" t="s">
        <v>2625</v>
      </c>
      <c r="B128" t="s">
        <v>1184</v>
      </c>
      <c r="C128" s="2" t="s">
        <v>250</v>
      </c>
      <c r="E128">
        <v>44658.03</v>
      </c>
      <c r="H128">
        <v>1.6739999999999999</v>
      </c>
      <c r="I128" t="s">
        <v>2627</v>
      </c>
    </row>
    <row r="129" spans="1:9">
      <c r="A129" t="s">
        <v>2628</v>
      </c>
      <c r="B129" t="s">
        <v>1304</v>
      </c>
      <c r="C129" s="2" t="s">
        <v>252</v>
      </c>
      <c r="E129">
        <v>44782.13</v>
      </c>
      <c r="H129">
        <v>1.33</v>
      </c>
      <c r="I129" t="s">
        <v>2174</v>
      </c>
    </row>
    <row r="130" spans="1:9">
      <c r="A130" t="s">
        <v>2628</v>
      </c>
      <c r="B130" t="s">
        <v>1304</v>
      </c>
      <c r="C130" s="2" t="s">
        <v>251</v>
      </c>
      <c r="E130">
        <v>45105.59</v>
      </c>
      <c r="H130">
        <v>1.21</v>
      </c>
      <c r="I130" t="s">
        <v>2174</v>
      </c>
    </row>
    <row r="131" spans="1:9">
      <c r="A131" t="s">
        <v>2628</v>
      </c>
      <c r="B131" t="s">
        <v>1304</v>
      </c>
      <c r="C131" s="2" t="s">
        <v>249</v>
      </c>
      <c r="E131">
        <v>45876.58</v>
      </c>
      <c r="H131">
        <v>1.01</v>
      </c>
      <c r="I131" t="s">
        <v>2174</v>
      </c>
    </row>
    <row r="132" spans="1:9">
      <c r="A132" t="s">
        <v>2628</v>
      </c>
      <c r="B132" t="s">
        <v>1304</v>
      </c>
      <c r="C132" s="2" t="s">
        <v>250</v>
      </c>
      <c r="E132">
        <v>46375.17</v>
      </c>
      <c r="H132">
        <v>0.44</v>
      </c>
      <c r="I132" t="s">
        <v>2174</v>
      </c>
    </row>
    <row r="133" spans="1:9">
      <c r="A133" t="s">
        <v>2629</v>
      </c>
      <c r="B133" t="s">
        <v>213</v>
      </c>
      <c r="C133" s="2" t="s">
        <v>248</v>
      </c>
      <c r="E133">
        <v>44857.57</v>
      </c>
      <c r="H133">
        <v>2.371</v>
      </c>
      <c r="I133" t="s">
        <v>2630</v>
      </c>
    </row>
    <row r="134" spans="1:9">
      <c r="A134" t="s">
        <v>2602</v>
      </c>
      <c r="B134" t="s">
        <v>1252</v>
      </c>
      <c r="C134" s="2" t="s">
        <v>252</v>
      </c>
      <c r="E134">
        <v>45111.48</v>
      </c>
      <c r="H134">
        <v>0.89700000000000002</v>
      </c>
      <c r="I134">
        <v>87</v>
      </c>
    </row>
    <row r="135" spans="1:9">
      <c r="A135" t="s">
        <v>2602</v>
      </c>
      <c r="B135" t="s">
        <v>1252</v>
      </c>
      <c r="C135" s="2" t="s">
        <v>1702</v>
      </c>
      <c r="E135">
        <v>45540.28</v>
      </c>
      <c r="H135">
        <v>1.097</v>
      </c>
      <c r="I135">
        <v>90</v>
      </c>
    </row>
    <row r="136" spans="1:9">
      <c r="A136" t="s">
        <v>2631</v>
      </c>
      <c r="B136" t="s">
        <v>1328</v>
      </c>
      <c r="C136" s="2" t="s">
        <v>1702</v>
      </c>
      <c r="E136">
        <v>45676</v>
      </c>
      <c r="H136">
        <v>1.4750000000000001</v>
      </c>
      <c r="I136" t="s">
        <v>2174</v>
      </c>
    </row>
    <row r="137" spans="1:9">
      <c r="A137" t="s">
        <v>2631</v>
      </c>
      <c r="B137" t="s">
        <v>1328</v>
      </c>
      <c r="C137" s="2" t="s">
        <v>252</v>
      </c>
      <c r="E137">
        <v>46223.01</v>
      </c>
      <c r="H137">
        <v>1.4430000000000001</v>
      </c>
      <c r="I137" t="s">
        <v>2174</v>
      </c>
    </row>
    <row r="138" spans="1:9">
      <c r="A138" t="s">
        <v>2631</v>
      </c>
      <c r="B138" t="s">
        <v>1328</v>
      </c>
      <c r="C138" s="2" t="s">
        <v>251</v>
      </c>
      <c r="E138">
        <v>46706.83</v>
      </c>
      <c r="H138">
        <v>1.3959999999999999</v>
      </c>
      <c r="I138" t="s">
        <v>2174</v>
      </c>
    </row>
    <row r="139" spans="1:9">
      <c r="A139" t="s">
        <v>2631</v>
      </c>
      <c r="B139" t="s">
        <v>1328</v>
      </c>
      <c r="C139" s="2" t="s">
        <v>249</v>
      </c>
      <c r="E139">
        <v>47090.65</v>
      </c>
      <c r="H139">
        <v>1.3009999999999999</v>
      </c>
      <c r="I139" t="s">
        <v>2174</v>
      </c>
    </row>
    <row r="140" spans="1:9">
      <c r="A140" t="s">
        <v>2631</v>
      </c>
      <c r="B140" t="s">
        <v>1328</v>
      </c>
      <c r="C140" s="2" t="s">
        <v>250</v>
      </c>
      <c r="E140">
        <v>47364.73</v>
      </c>
      <c r="H140">
        <v>1.054</v>
      </c>
      <c r="I140" t="s">
        <v>2174</v>
      </c>
    </row>
    <row r="141" spans="1:9">
      <c r="A141" t="s">
        <v>2631</v>
      </c>
      <c r="B141" t="s">
        <v>1328</v>
      </c>
      <c r="C141" s="2" t="s">
        <v>248</v>
      </c>
      <c r="E141">
        <v>47528.44</v>
      </c>
      <c r="H141">
        <v>-0.66600000000000004</v>
      </c>
      <c r="I141" t="s">
        <v>2174</v>
      </c>
    </row>
    <row r="142" spans="1:9">
      <c r="A142" t="s">
        <v>2598</v>
      </c>
      <c r="B142" t="s">
        <v>218</v>
      </c>
      <c r="C142" s="2" t="s">
        <v>249</v>
      </c>
      <c r="E142">
        <v>45688.15</v>
      </c>
      <c r="H142">
        <v>1.2190000000000001</v>
      </c>
      <c r="I142" t="s">
        <v>2632</v>
      </c>
    </row>
    <row r="143" spans="1:9">
      <c r="A143" t="s">
        <v>2598</v>
      </c>
      <c r="B143" t="s">
        <v>218</v>
      </c>
      <c r="C143" s="2" t="s">
        <v>250</v>
      </c>
      <c r="E143">
        <v>46186.41</v>
      </c>
      <c r="H143">
        <v>1.218</v>
      </c>
      <c r="I143" t="s">
        <v>2633</v>
      </c>
    </row>
    <row r="144" spans="1:9">
      <c r="A144" t="s">
        <v>2602</v>
      </c>
      <c r="B144" t="s">
        <v>2634</v>
      </c>
      <c r="C144" s="2" t="s">
        <v>251</v>
      </c>
      <c r="E144">
        <v>45766.63</v>
      </c>
      <c r="H144">
        <v>0.89800000000000002</v>
      </c>
      <c r="I144" t="s">
        <v>2635</v>
      </c>
    </row>
    <row r="145" spans="1:9">
      <c r="A145" t="s">
        <v>2602</v>
      </c>
      <c r="B145" t="s">
        <v>2634</v>
      </c>
      <c r="C145" s="2" t="s">
        <v>252</v>
      </c>
      <c r="E145">
        <v>46032.1</v>
      </c>
      <c r="H145">
        <v>1.131</v>
      </c>
      <c r="I145" t="s">
        <v>2636</v>
      </c>
    </row>
    <row r="146" spans="1:9">
      <c r="A146" t="s">
        <v>2598</v>
      </c>
      <c r="B146" t="s">
        <v>633</v>
      </c>
      <c r="C146" s="2" t="s">
        <v>250</v>
      </c>
      <c r="E146">
        <v>45904.68</v>
      </c>
      <c r="H146">
        <v>1.6739999999999999</v>
      </c>
      <c r="I146" t="s">
        <v>2637</v>
      </c>
    </row>
    <row r="147" spans="1:9">
      <c r="A147" t="s">
        <v>2628</v>
      </c>
      <c r="B147" t="s">
        <v>1554</v>
      </c>
      <c r="C147" s="2" t="s">
        <v>251</v>
      </c>
      <c r="E147">
        <v>45924.98</v>
      </c>
      <c r="H147">
        <v>1.1399999999999999</v>
      </c>
      <c r="I147" t="s">
        <v>2174</v>
      </c>
    </row>
    <row r="148" spans="1:9">
      <c r="A148" t="s">
        <v>2628</v>
      </c>
      <c r="B148" t="s">
        <v>1554</v>
      </c>
      <c r="C148" s="2" t="s">
        <v>249</v>
      </c>
      <c r="E148">
        <v>46746</v>
      </c>
      <c r="H148">
        <v>0.49</v>
      </c>
      <c r="I148" t="s">
        <v>2174</v>
      </c>
    </row>
    <row r="149" spans="1:9">
      <c r="A149" t="s">
        <v>2592</v>
      </c>
      <c r="B149" t="s">
        <v>1289</v>
      </c>
      <c r="C149" s="2" t="s">
        <v>248</v>
      </c>
      <c r="E149">
        <v>45957.29</v>
      </c>
      <c r="H149">
        <v>2.5219999999999998</v>
      </c>
      <c r="I149" t="s">
        <v>2638</v>
      </c>
    </row>
    <row r="150" spans="1:9">
      <c r="A150" t="s">
        <v>2592</v>
      </c>
      <c r="B150" t="s">
        <v>1289</v>
      </c>
      <c r="C150" s="2" t="s">
        <v>249</v>
      </c>
      <c r="E150">
        <v>46002.83</v>
      </c>
      <c r="H150">
        <v>1.5429999999999999</v>
      </c>
      <c r="I150" t="s">
        <v>2639</v>
      </c>
    </row>
    <row r="151" spans="1:9">
      <c r="A151" t="s">
        <v>2592</v>
      </c>
      <c r="B151" t="s">
        <v>1289</v>
      </c>
      <c r="C151" s="2" t="s">
        <v>250</v>
      </c>
      <c r="E151">
        <v>46260.02</v>
      </c>
      <c r="H151">
        <v>1.508</v>
      </c>
      <c r="I151" t="s">
        <v>2640</v>
      </c>
    </row>
    <row r="152" spans="1:9">
      <c r="A152" t="s">
        <v>2598</v>
      </c>
      <c r="B152" t="s">
        <v>216</v>
      </c>
      <c r="C152" s="2" t="s">
        <v>251</v>
      </c>
      <c r="E152">
        <v>45971.19</v>
      </c>
      <c r="H152">
        <v>1.4239999999999999</v>
      </c>
      <c r="I152" t="s">
        <v>2641</v>
      </c>
    </row>
    <row r="153" spans="1:9">
      <c r="A153" t="s">
        <v>2598</v>
      </c>
      <c r="B153" t="s">
        <v>216</v>
      </c>
      <c r="C153" s="2" t="s">
        <v>249</v>
      </c>
      <c r="E153">
        <v>46329.63</v>
      </c>
      <c r="H153">
        <v>1.365</v>
      </c>
      <c r="I153" t="s">
        <v>2642</v>
      </c>
    </row>
    <row r="154" spans="1:9">
      <c r="A154" t="s">
        <v>2598</v>
      </c>
      <c r="B154" t="s">
        <v>216</v>
      </c>
      <c r="C154" s="2" t="s">
        <v>248</v>
      </c>
      <c r="E154">
        <v>46502.15</v>
      </c>
      <c r="H154">
        <v>0.161</v>
      </c>
      <c r="I154" t="s">
        <v>2643</v>
      </c>
    </row>
    <row r="155" spans="1:9">
      <c r="A155" t="s">
        <v>2592</v>
      </c>
      <c r="B155" t="s">
        <v>218</v>
      </c>
      <c r="C155" s="2" t="s">
        <v>250</v>
      </c>
      <c r="E155">
        <v>46454.95</v>
      </c>
      <c r="H155">
        <v>0.86899999999999999</v>
      </c>
      <c r="I155" t="s">
        <v>2644</v>
      </c>
    </row>
    <row r="156" spans="1:9">
      <c r="A156" t="s">
        <v>2592</v>
      </c>
      <c r="B156" t="s">
        <v>218</v>
      </c>
      <c r="C156" s="2" t="s">
        <v>249</v>
      </c>
      <c r="E156">
        <v>46671.94</v>
      </c>
      <c r="H156">
        <v>1.2330000000000001</v>
      </c>
      <c r="I156" t="s">
        <v>2645</v>
      </c>
    </row>
    <row r="157" spans="1:9">
      <c r="A157" t="s">
        <v>2598</v>
      </c>
      <c r="B157" t="s">
        <v>291</v>
      </c>
      <c r="C157" s="2" t="s">
        <v>250</v>
      </c>
      <c r="E157">
        <v>46562.87</v>
      </c>
      <c r="H157">
        <v>1.2729999999999999</v>
      </c>
      <c r="I157" t="s">
        <v>2646</v>
      </c>
    </row>
    <row r="158" spans="1:9">
      <c r="A158" t="s">
        <v>2598</v>
      </c>
      <c r="B158" t="s">
        <v>291</v>
      </c>
      <c r="C158" s="2" t="s">
        <v>250</v>
      </c>
      <c r="E158">
        <v>46685.43</v>
      </c>
      <c r="H158">
        <v>1.3520000000000001</v>
      </c>
      <c r="I158" t="s">
        <v>2647</v>
      </c>
    </row>
    <row r="159" spans="1:9">
      <c r="A159" t="s">
        <v>2629</v>
      </c>
      <c r="B159" t="s">
        <v>291</v>
      </c>
      <c r="C159" s="2" t="s">
        <v>251</v>
      </c>
      <c r="E159">
        <v>46872.74</v>
      </c>
      <c r="H159">
        <v>1.3320000000000001</v>
      </c>
      <c r="I159" t="s">
        <v>2648</v>
      </c>
    </row>
    <row r="160" spans="1:9">
      <c r="A160" t="s">
        <v>2598</v>
      </c>
      <c r="B160" t="s">
        <v>2649</v>
      </c>
      <c r="C160" s="2" t="s">
        <v>248</v>
      </c>
      <c r="E160">
        <v>47091.14</v>
      </c>
      <c r="H160">
        <v>0.65600000000000003</v>
      </c>
      <c r="I160" t="s">
        <v>2650</v>
      </c>
    </row>
    <row r="161" spans="1:9">
      <c r="A161" t="s">
        <v>2602</v>
      </c>
      <c r="B161" t="s">
        <v>291</v>
      </c>
      <c r="C161" s="2" t="s">
        <v>249</v>
      </c>
      <c r="E161">
        <v>47128.959999999999</v>
      </c>
      <c r="H161">
        <v>0.85799999999999998</v>
      </c>
      <c r="I161" t="s">
        <v>2651</v>
      </c>
    </row>
    <row r="162" spans="1:9">
      <c r="A162" t="s">
        <v>2602</v>
      </c>
      <c r="B162" t="s">
        <v>291</v>
      </c>
      <c r="C162" s="2" t="s">
        <v>251</v>
      </c>
      <c r="E162">
        <v>47225.11</v>
      </c>
      <c r="H162">
        <v>1.2290000000000001</v>
      </c>
      <c r="I162" t="s">
        <v>2652</v>
      </c>
    </row>
    <row r="163" spans="1:9">
      <c r="A163" t="s">
        <v>2629</v>
      </c>
      <c r="B163" t="s">
        <v>1277</v>
      </c>
      <c r="C163" s="2" t="s">
        <v>249</v>
      </c>
      <c r="E163">
        <v>47393.93</v>
      </c>
      <c r="H163">
        <v>1.3240000000000001</v>
      </c>
      <c r="I163" t="s">
        <v>2653</v>
      </c>
    </row>
    <row r="164" spans="1:9">
      <c r="A164" t="s">
        <v>2629</v>
      </c>
      <c r="B164" t="s">
        <v>1277</v>
      </c>
      <c r="C164" s="2" t="s">
        <v>250</v>
      </c>
      <c r="E164">
        <v>47612.18</v>
      </c>
      <c r="H164">
        <v>1.1220000000000001</v>
      </c>
      <c r="I164" t="s">
        <v>2654</v>
      </c>
    </row>
    <row r="165" spans="1:9">
      <c r="A165" t="s">
        <v>2631</v>
      </c>
      <c r="B165" t="s">
        <v>1363</v>
      </c>
      <c r="C165" s="2" t="s">
        <v>252</v>
      </c>
      <c r="E165">
        <v>47524.47</v>
      </c>
      <c r="H165">
        <v>1.3280000000000001</v>
      </c>
      <c r="I165" t="s">
        <v>2174</v>
      </c>
    </row>
    <row r="166" spans="1:9">
      <c r="A166" t="s">
        <v>2631</v>
      </c>
      <c r="B166" t="s">
        <v>1363</v>
      </c>
      <c r="C166" s="2" t="s">
        <v>251</v>
      </c>
      <c r="E166">
        <v>48201.599999999999</v>
      </c>
      <c r="H166">
        <v>1.226</v>
      </c>
      <c r="I166" t="s">
        <v>2174</v>
      </c>
    </row>
    <row r="167" spans="1:9">
      <c r="A167" t="s">
        <v>2631</v>
      </c>
      <c r="B167" t="s">
        <v>1363</v>
      </c>
      <c r="C167" s="2" t="s">
        <v>249</v>
      </c>
      <c r="E167">
        <v>48718.57</v>
      </c>
      <c r="H167">
        <v>1.0409999999999999</v>
      </c>
      <c r="I167" t="s">
        <v>2174</v>
      </c>
    </row>
    <row r="168" spans="1:9">
      <c r="A168" t="s">
        <v>2631</v>
      </c>
      <c r="B168" t="s">
        <v>1363</v>
      </c>
      <c r="C168" s="2" t="s">
        <v>250</v>
      </c>
      <c r="E168">
        <v>49078.43</v>
      </c>
      <c r="H168">
        <v>0.40100000000000002</v>
      </c>
      <c r="I168" t="s">
        <v>2174</v>
      </c>
    </row>
    <row r="169" spans="1:9">
      <c r="B169" t="s">
        <v>112</v>
      </c>
      <c r="C169" s="2" t="s">
        <v>251</v>
      </c>
      <c r="E169">
        <v>47839.15</v>
      </c>
      <c r="I169" t="s">
        <v>2174</v>
      </c>
    </row>
    <row r="170" spans="1:9">
      <c r="A170" t="s">
        <v>2629</v>
      </c>
      <c r="B170" t="s">
        <v>291</v>
      </c>
      <c r="C170" s="2" t="s">
        <v>248</v>
      </c>
      <c r="E170">
        <v>47905.26</v>
      </c>
      <c r="H170">
        <v>1.6E-2</v>
      </c>
      <c r="I170" t="s">
        <v>2655</v>
      </c>
    </row>
    <row r="171" spans="1:9">
      <c r="B171" t="s">
        <v>1219</v>
      </c>
      <c r="C171" s="2" t="s">
        <v>248</v>
      </c>
      <c r="E171">
        <v>47977.94</v>
      </c>
      <c r="H171">
        <v>2.093</v>
      </c>
      <c r="I171" t="s">
        <v>2174</v>
      </c>
    </row>
    <row r="172" spans="1:9">
      <c r="A172" t="s">
        <v>2598</v>
      </c>
      <c r="B172" t="s">
        <v>291</v>
      </c>
      <c r="C172" s="2" t="s">
        <v>248</v>
      </c>
      <c r="E172">
        <v>48026.34</v>
      </c>
      <c r="H172">
        <v>1.6990000000000001</v>
      </c>
      <c r="I172" t="s">
        <v>2656</v>
      </c>
    </row>
    <row r="173" spans="1:9">
      <c r="A173" t="s">
        <v>2657</v>
      </c>
      <c r="B173" t="s">
        <v>1340</v>
      </c>
      <c r="C173" s="2" t="s">
        <v>251</v>
      </c>
      <c r="E173">
        <v>48217.32</v>
      </c>
      <c r="H173">
        <v>1.2110000000000001</v>
      </c>
      <c r="I173" t="s">
        <v>2658</v>
      </c>
    </row>
    <row r="174" spans="1:9">
      <c r="A174" t="s">
        <v>2657</v>
      </c>
      <c r="B174" t="s">
        <v>1340</v>
      </c>
      <c r="C174" s="2" t="s">
        <v>249</v>
      </c>
      <c r="E174">
        <v>48443.76</v>
      </c>
      <c r="H174">
        <v>1.34</v>
      </c>
      <c r="I174" t="s">
        <v>2659</v>
      </c>
    </row>
    <row r="175" spans="1:9">
      <c r="A175" t="s">
        <v>2657</v>
      </c>
      <c r="B175" t="s">
        <v>1340</v>
      </c>
      <c r="C175" s="2" t="s">
        <v>248</v>
      </c>
      <c r="E175">
        <v>48571.77</v>
      </c>
      <c r="H175">
        <v>0.45200000000000001</v>
      </c>
      <c r="I175" t="s">
        <v>2660</v>
      </c>
    </row>
    <row r="176" spans="1:9">
      <c r="A176" t="s">
        <v>2661</v>
      </c>
      <c r="B176" t="s">
        <v>606</v>
      </c>
      <c r="C176" s="2" t="s">
        <v>251</v>
      </c>
      <c r="E176">
        <v>48317.17</v>
      </c>
      <c r="H176">
        <v>1.173</v>
      </c>
      <c r="I176" t="s">
        <v>2662</v>
      </c>
    </row>
    <row r="177" spans="1:9">
      <c r="A177" t="s">
        <v>2661</v>
      </c>
      <c r="B177" t="s">
        <v>606</v>
      </c>
      <c r="C177" s="2" t="s">
        <v>249</v>
      </c>
      <c r="E177">
        <v>48615.56</v>
      </c>
      <c r="F177" t="s">
        <v>34</v>
      </c>
      <c r="H177">
        <v>0.61899999999999999</v>
      </c>
      <c r="I177" t="s">
        <v>2663</v>
      </c>
    </row>
    <row r="178" spans="1:9">
      <c r="A178" t="s">
        <v>2592</v>
      </c>
      <c r="B178" t="s">
        <v>211</v>
      </c>
      <c r="C178" s="2" t="s">
        <v>250</v>
      </c>
      <c r="E178">
        <v>48334.37</v>
      </c>
      <c r="H178">
        <v>1.4359999999999999</v>
      </c>
      <c r="I178" t="s">
        <v>2664</v>
      </c>
    </row>
    <row r="179" spans="1:9">
      <c r="A179" t="s">
        <v>2592</v>
      </c>
      <c r="B179" t="s">
        <v>211</v>
      </c>
      <c r="C179" s="2" t="s">
        <v>248</v>
      </c>
      <c r="E179">
        <v>48837.72</v>
      </c>
      <c r="H179">
        <v>1.5</v>
      </c>
      <c r="I179" t="s">
        <v>2665</v>
      </c>
    </row>
    <row r="180" spans="1:9">
      <c r="A180" t="s">
        <v>2657</v>
      </c>
      <c r="B180" t="s">
        <v>291</v>
      </c>
      <c r="C180" s="2" t="s">
        <v>250</v>
      </c>
      <c r="E180">
        <v>48546.07</v>
      </c>
      <c r="H180">
        <v>1.05</v>
      </c>
      <c r="I180" t="s">
        <v>2666</v>
      </c>
    </row>
    <row r="181" spans="1:9">
      <c r="A181" t="s">
        <v>2629</v>
      </c>
      <c r="B181" t="s">
        <v>1377</v>
      </c>
      <c r="C181" s="2" t="s">
        <v>250</v>
      </c>
      <c r="E181">
        <v>48753.72</v>
      </c>
      <c r="H181">
        <v>1.728</v>
      </c>
      <c r="I181" t="s">
        <v>2667</v>
      </c>
    </row>
    <row r="182" spans="1:9">
      <c r="A182" t="s">
        <v>2657</v>
      </c>
      <c r="B182" t="s">
        <v>291</v>
      </c>
      <c r="C182" s="2" t="s">
        <v>249</v>
      </c>
      <c r="E182">
        <v>48828.87</v>
      </c>
      <c r="I182" t="s">
        <v>2668</v>
      </c>
    </row>
    <row r="183" spans="1:9">
      <c r="B183" t="s">
        <v>118</v>
      </c>
      <c r="C183" s="2" t="s">
        <v>250</v>
      </c>
      <c r="E183">
        <v>48851.58</v>
      </c>
      <c r="F183" t="s">
        <v>34</v>
      </c>
      <c r="I183" t="s">
        <v>2174</v>
      </c>
    </row>
    <row r="184" spans="1:9">
      <c r="A184" t="s">
        <v>2629</v>
      </c>
      <c r="B184" t="s">
        <v>291</v>
      </c>
      <c r="C184" s="2" t="s">
        <v>250</v>
      </c>
      <c r="E184">
        <v>49025.42</v>
      </c>
      <c r="H184">
        <v>1.099</v>
      </c>
      <c r="I184" t="s">
        <v>2669</v>
      </c>
    </row>
    <row r="185" spans="1:9">
      <c r="A185" t="s">
        <v>2657</v>
      </c>
      <c r="B185" t="s">
        <v>214</v>
      </c>
      <c r="C185" s="2" t="s">
        <v>252</v>
      </c>
      <c r="E185">
        <v>49197.74</v>
      </c>
      <c r="F185" t="s">
        <v>34</v>
      </c>
      <c r="I185">
        <v>98</v>
      </c>
    </row>
    <row r="186" spans="1:9">
      <c r="A186" t="s">
        <v>2657</v>
      </c>
      <c r="B186" t="s">
        <v>214</v>
      </c>
      <c r="C186" s="2" t="s">
        <v>251</v>
      </c>
      <c r="E186">
        <v>49484.05</v>
      </c>
      <c r="H186">
        <v>1.26</v>
      </c>
      <c r="I186" t="s">
        <v>2670</v>
      </c>
    </row>
    <row r="187" spans="1:9">
      <c r="A187" t="s">
        <v>2657</v>
      </c>
      <c r="B187" t="s">
        <v>214</v>
      </c>
      <c r="C187" s="2" t="s">
        <v>249</v>
      </c>
      <c r="E187">
        <v>49847.08</v>
      </c>
      <c r="H187">
        <v>1.079</v>
      </c>
      <c r="I187" t="s">
        <v>2671</v>
      </c>
    </row>
    <row r="188" spans="1:9">
      <c r="A188" t="s">
        <v>2657</v>
      </c>
      <c r="B188" t="s">
        <v>214</v>
      </c>
      <c r="C188" s="2" t="s">
        <v>250</v>
      </c>
      <c r="E188">
        <v>50105.05</v>
      </c>
      <c r="H188">
        <v>0.56899999999999995</v>
      </c>
      <c r="I188" t="s">
        <v>2672</v>
      </c>
    </row>
    <row r="189" spans="1:9">
      <c r="B189" t="s">
        <v>1403</v>
      </c>
      <c r="C189" s="2" t="s">
        <v>248</v>
      </c>
      <c r="E189">
        <v>49754.73</v>
      </c>
      <c r="H189">
        <v>1.365</v>
      </c>
      <c r="I189" t="s">
        <v>2174</v>
      </c>
    </row>
    <row r="190" spans="1:9">
      <c r="A190" t="s">
        <v>2673</v>
      </c>
      <c r="B190" t="s">
        <v>1316</v>
      </c>
      <c r="C190" s="2" t="s">
        <v>252</v>
      </c>
      <c r="E190">
        <v>50210.8</v>
      </c>
      <c r="H190">
        <v>0.89900000000000002</v>
      </c>
      <c r="I190" t="s">
        <v>2674</v>
      </c>
    </row>
    <row r="191" spans="1:9">
      <c r="A191" t="s">
        <v>2673</v>
      </c>
      <c r="B191" t="s">
        <v>1316</v>
      </c>
      <c r="C191" s="2" t="s">
        <v>1702</v>
      </c>
      <c r="E191">
        <v>50375.91</v>
      </c>
      <c r="H191">
        <v>1.091</v>
      </c>
      <c r="I191" t="s">
        <v>2675</v>
      </c>
    </row>
    <row r="192" spans="1:9">
      <c r="A192" t="s">
        <v>2673</v>
      </c>
      <c r="B192" t="s">
        <v>1432</v>
      </c>
      <c r="C192" s="2" t="s">
        <v>251</v>
      </c>
      <c r="E192">
        <v>50578.73</v>
      </c>
      <c r="H192">
        <v>1.125</v>
      </c>
      <c r="I192" t="s">
        <v>2676</v>
      </c>
    </row>
    <row r="193" spans="1:9">
      <c r="A193" t="s">
        <v>2673</v>
      </c>
      <c r="B193" t="s">
        <v>1432</v>
      </c>
      <c r="C193" s="2" t="s">
        <v>249</v>
      </c>
      <c r="E193">
        <v>50712.45</v>
      </c>
      <c r="H193">
        <v>0.90500000000000003</v>
      </c>
      <c r="I193" t="s">
        <v>2677</v>
      </c>
    </row>
    <row r="194" spans="1:9">
      <c r="A194" t="s">
        <v>2673</v>
      </c>
      <c r="B194" t="s">
        <v>2426</v>
      </c>
      <c r="C194" s="2" t="s">
        <v>252</v>
      </c>
      <c r="E194">
        <v>50593.38</v>
      </c>
      <c r="H194">
        <v>1.1000000000000001</v>
      </c>
      <c r="I194" t="s">
        <v>2678</v>
      </c>
    </row>
    <row r="195" spans="1:9">
      <c r="A195" t="s">
        <v>2673</v>
      </c>
      <c r="B195" t="s">
        <v>2426</v>
      </c>
      <c r="C195" s="2" t="s">
        <v>251</v>
      </c>
      <c r="E195">
        <v>50611.22</v>
      </c>
      <c r="H195">
        <v>0.82</v>
      </c>
      <c r="I195" t="s">
        <v>2679</v>
      </c>
    </row>
    <row r="196" spans="1:9">
      <c r="A196" t="s">
        <v>2661</v>
      </c>
      <c r="B196" t="s">
        <v>2603</v>
      </c>
      <c r="C196" s="2" t="s">
        <v>1702</v>
      </c>
      <c r="E196">
        <v>50703.08</v>
      </c>
      <c r="H196">
        <v>1.1100000000000001</v>
      </c>
      <c r="I196" t="s">
        <v>2680</v>
      </c>
    </row>
    <row r="197" spans="1:9">
      <c r="A197" t="s">
        <v>2661</v>
      </c>
      <c r="B197" t="s">
        <v>2603</v>
      </c>
      <c r="C197" s="2" t="s">
        <v>252</v>
      </c>
      <c r="E197">
        <v>50902.61</v>
      </c>
      <c r="H197">
        <v>0.94099999999999995</v>
      </c>
      <c r="I197" t="s">
        <v>2681</v>
      </c>
    </row>
    <row r="198" spans="1:9">
      <c r="A198" t="s">
        <v>2661</v>
      </c>
      <c r="B198" t="s">
        <v>2603</v>
      </c>
      <c r="C198" s="2" t="s">
        <v>251</v>
      </c>
      <c r="E198">
        <v>51184.63</v>
      </c>
      <c r="I198" t="s">
        <v>2682</v>
      </c>
    </row>
    <row r="199" spans="1:9">
      <c r="B199" t="s">
        <v>123</v>
      </c>
      <c r="C199" s="2" t="s">
        <v>251</v>
      </c>
      <c r="E199">
        <v>50738.2</v>
      </c>
      <c r="I199" t="s">
        <v>2174</v>
      </c>
    </row>
    <row r="200" spans="1:9">
      <c r="B200" t="s">
        <v>123</v>
      </c>
      <c r="C200" s="2" t="s">
        <v>252</v>
      </c>
      <c r="E200">
        <v>50738.2</v>
      </c>
      <c r="I200" t="s">
        <v>2174</v>
      </c>
    </row>
    <row r="201" spans="1:9">
      <c r="B201" t="s">
        <v>1379</v>
      </c>
      <c r="C201" s="2" t="s">
        <v>251</v>
      </c>
      <c r="E201">
        <v>50741.66</v>
      </c>
      <c r="H201">
        <v>1.458</v>
      </c>
      <c r="I201" t="s">
        <v>2174</v>
      </c>
    </row>
    <row r="202" spans="1:9">
      <c r="B202" t="s">
        <v>1379</v>
      </c>
      <c r="C202" s="2" t="s">
        <v>249</v>
      </c>
      <c r="E202">
        <v>51139.38</v>
      </c>
      <c r="I202" t="s">
        <v>2174</v>
      </c>
    </row>
    <row r="203" spans="1:9">
      <c r="B203" t="s">
        <v>1379</v>
      </c>
      <c r="C203" s="2" t="s">
        <v>250</v>
      </c>
      <c r="E203">
        <v>51847.27</v>
      </c>
      <c r="I203" t="s">
        <v>2174</v>
      </c>
    </row>
    <row r="204" spans="1:9">
      <c r="B204" t="s">
        <v>1379</v>
      </c>
      <c r="C204" s="2" t="s">
        <v>248</v>
      </c>
      <c r="E204">
        <v>52264.01</v>
      </c>
      <c r="F204" t="s">
        <v>34</v>
      </c>
      <c r="I204" t="s">
        <v>2174</v>
      </c>
    </row>
    <row r="205" spans="1:9">
      <c r="B205" t="s">
        <v>128</v>
      </c>
      <c r="C205" s="2" t="s">
        <v>249</v>
      </c>
      <c r="E205">
        <v>50806.55</v>
      </c>
      <c r="H205">
        <v>1.1359999999999999</v>
      </c>
      <c r="I205" t="s">
        <v>2174</v>
      </c>
    </row>
    <row r="206" spans="1:9">
      <c r="A206" t="s">
        <v>2629</v>
      </c>
      <c r="B206" t="s">
        <v>1469</v>
      </c>
      <c r="C206" s="2" t="s">
        <v>250</v>
      </c>
      <c r="E206">
        <v>50925.11</v>
      </c>
      <c r="H206">
        <v>1.34</v>
      </c>
      <c r="I206" t="s">
        <v>2683</v>
      </c>
    </row>
    <row r="207" spans="1:9">
      <c r="A207" t="s">
        <v>2629</v>
      </c>
      <c r="B207" t="s">
        <v>1469</v>
      </c>
      <c r="C207" s="2" t="s">
        <v>248</v>
      </c>
      <c r="E207">
        <v>50945.47</v>
      </c>
      <c r="H207">
        <v>0.73199999999999998</v>
      </c>
      <c r="I207" t="s">
        <v>2684</v>
      </c>
    </row>
    <row r="208" spans="1:9">
      <c r="A208" t="s">
        <v>2685</v>
      </c>
      <c r="B208" t="s">
        <v>2231</v>
      </c>
      <c r="C208" s="2" t="s">
        <v>249</v>
      </c>
      <c r="E208">
        <v>51042.26</v>
      </c>
      <c r="H208">
        <v>1.59</v>
      </c>
      <c r="I208" t="s">
        <v>2174</v>
      </c>
    </row>
    <row r="209" spans="1:9">
      <c r="A209" t="s">
        <v>2685</v>
      </c>
      <c r="B209" t="s">
        <v>2231</v>
      </c>
      <c r="C209" s="2" t="s">
        <v>250</v>
      </c>
      <c r="E209">
        <v>52033.26</v>
      </c>
      <c r="H209">
        <v>1.4</v>
      </c>
      <c r="I209" t="s">
        <v>2174</v>
      </c>
    </row>
    <row r="210" spans="1:9">
      <c r="A210" t="s">
        <v>2685</v>
      </c>
      <c r="B210" t="s">
        <v>2231</v>
      </c>
      <c r="C210" s="2" t="s">
        <v>248</v>
      </c>
      <c r="E210">
        <v>52915.92</v>
      </c>
      <c r="F210" t="s">
        <v>34</v>
      </c>
      <c r="I210" t="s">
        <v>2174</v>
      </c>
    </row>
    <row r="211" spans="1:9">
      <c r="A211" t="s">
        <v>2685</v>
      </c>
      <c r="B211" t="s">
        <v>1345</v>
      </c>
      <c r="C211" s="2" t="s">
        <v>251</v>
      </c>
      <c r="E211">
        <v>51052.98</v>
      </c>
      <c r="H211">
        <v>1.4019999999999999</v>
      </c>
      <c r="I211" t="s">
        <v>2174</v>
      </c>
    </row>
    <row r="212" spans="1:9">
      <c r="A212" t="s">
        <v>2685</v>
      </c>
      <c r="B212" t="s">
        <v>1345</v>
      </c>
      <c r="C212" s="2" t="s">
        <v>249</v>
      </c>
      <c r="E212">
        <v>51560.76</v>
      </c>
      <c r="H212">
        <v>1.3540000000000001</v>
      </c>
      <c r="I212" t="s">
        <v>2174</v>
      </c>
    </row>
    <row r="213" spans="1:9">
      <c r="A213" t="s">
        <v>2685</v>
      </c>
      <c r="B213" t="s">
        <v>1345</v>
      </c>
      <c r="C213" s="2" t="s">
        <v>250</v>
      </c>
      <c r="E213">
        <v>52264.49</v>
      </c>
      <c r="F213" t="s">
        <v>34</v>
      </c>
      <c r="I213" t="s">
        <v>2174</v>
      </c>
    </row>
    <row r="214" spans="1:9">
      <c r="A214" t="s">
        <v>2685</v>
      </c>
      <c r="B214" t="s">
        <v>1345</v>
      </c>
      <c r="C214" s="2" t="s">
        <v>248</v>
      </c>
      <c r="E214">
        <v>52634.62</v>
      </c>
      <c r="H214">
        <v>1.58</v>
      </c>
      <c r="I214" t="s">
        <v>2174</v>
      </c>
    </row>
    <row r="215" spans="1:9">
      <c r="A215" t="s">
        <v>2685</v>
      </c>
      <c r="B215" t="s">
        <v>2686</v>
      </c>
      <c r="C215" s="2" t="s">
        <v>720</v>
      </c>
      <c r="E215">
        <v>51142.53</v>
      </c>
      <c r="H215">
        <v>1.224</v>
      </c>
      <c r="I215" t="s">
        <v>2174</v>
      </c>
    </row>
    <row r="216" spans="1:9">
      <c r="A216" t="s">
        <v>2685</v>
      </c>
      <c r="B216" t="s">
        <v>2686</v>
      </c>
      <c r="C216" s="2" t="s">
        <v>1702</v>
      </c>
      <c r="E216">
        <v>51174.28</v>
      </c>
      <c r="H216">
        <v>1.147</v>
      </c>
      <c r="I216" t="s">
        <v>2174</v>
      </c>
    </row>
    <row r="217" spans="1:9">
      <c r="A217" t="s">
        <v>2685</v>
      </c>
      <c r="B217" t="s">
        <v>2686</v>
      </c>
      <c r="C217" s="2" t="s">
        <v>252</v>
      </c>
      <c r="E217">
        <v>52121.21</v>
      </c>
      <c r="H217">
        <v>0.96</v>
      </c>
      <c r="I217" t="s">
        <v>2174</v>
      </c>
    </row>
    <row r="218" spans="1:9">
      <c r="A218" t="s">
        <v>2685</v>
      </c>
      <c r="B218" t="s">
        <v>2686</v>
      </c>
      <c r="C218" s="2" t="s">
        <v>251</v>
      </c>
      <c r="E218">
        <v>52716.7</v>
      </c>
      <c r="H218">
        <v>0.89600000000000002</v>
      </c>
      <c r="I218" t="s">
        <v>2174</v>
      </c>
    </row>
    <row r="219" spans="1:9">
      <c r="A219" t="s">
        <v>2657</v>
      </c>
      <c r="B219" t="s">
        <v>1369</v>
      </c>
      <c r="C219" s="2" t="s">
        <v>249</v>
      </c>
      <c r="E219">
        <v>51160.03</v>
      </c>
      <c r="H219">
        <v>1.5780000000000001</v>
      </c>
      <c r="I219" t="s">
        <v>2687</v>
      </c>
    </row>
    <row r="220" spans="1:9">
      <c r="A220" t="s">
        <v>2657</v>
      </c>
      <c r="B220" t="s">
        <v>1369</v>
      </c>
      <c r="C220" s="2" t="s">
        <v>250</v>
      </c>
      <c r="E220">
        <v>52014.45</v>
      </c>
      <c r="H220">
        <v>1.6160000000000001</v>
      </c>
      <c r="I220" t="s">
        <v>2688</v>
      </c>
    </row>
    <row r="221" spans="1:9">
      <c r="A221" t="s">
        <v>2657</v>
      </c>
      <c r="B221" t="s">
        <v>1369</v>
      </c>
      <c r="C221" s="2" t="s">
        <v>248</v>
      </c>
      <c r="E221">
        <v>52355.12</v>
      </c>
      <c r="H221">
        <v>2.3039999999999998</v>
      </c>
      <c r="I221" t="s">
        <v>2689</v>
      </c>
    </row>
    <row r="222" spans="1:9">
      <c r="A222" t="s">
        <v>2685</v>
      </c>
      <c r="B222" t="s">
        <v>2690</v>
      </c>
      <c r="C222" s="2" t="s">
        <v>252</v>
      </c>
      <c r="E222">
        <v>51170.14</v>
      </c>
      <c r="H222">
        <v>1.337</v>
      </c>
      <c r="I222" t="s">
        <v>2174</v>
      </c>
    </row>
    <row r="223" spans="1:9">
      <c r="A223" t="s">
        <v>2685</v>
      </c>
      <c r="B223" t="s">
        <v>2690</v>
      </c>
      <c r="C223" s="2" t="s">
        <v>251</v>
      </c>
      <c r="E223">
        <v>51199.58</v>
      </c>
      <c r="H223">
        <v>1.1599999999999999</v>
      </c>
      <c r="I223" t="s">
        <v>2174</v>
      </c>
    </row>
    <row r="224" spans="1:9">
      <c r="A224" t="s">
        <v>2685</v>
      </c>
      <c r="B224" t="s">
        <v>2690</v>
      </c>
      <c r="C224" s="2" t="s">
        <v>249</v>
      </c>
      <c r="E224">
        <v>52070</v>
      </c>
      <c r="H224">
        <v>1.08</v>
      </c>
      <c r="I224" t="s">
        <v>2174</v>
      </c>
    </row>
    <row r="225" spans="1:9">
      <c r="A225" t="s">
        <v>2685</v>
      </c>
      <c r="B225" t="s">
        <v>2690</v>
      </c>
      <c r="C225" s="2" t="s">
        <v>250</v>
      </c>
      <c r="E225">
        <v>52702.76</v>
      </c>
      <c r="F225" t="s">
        <v>34</v>
      </c>
      <c r="H225">
        <v>0.76</v>
      </c>
      <c r="I225" t="s">
        <v>2174</v>
      </c>
    </row>
    <row r="226" spans="1:9">
      <c r="A226" t="s">
        <v>2685</v>
      </c>
      <c r="B226" t="s">
        <v>2691</v>
      </c>
      <c r="C226" s="2" t="s">
        <v>250</v>
      </c>
      <c r="E226">
        <v>51200.6</v>
      </c>
      <c r="H226">
        <v>1.3680000000000001</v>
      </c>
      <c r="I226" t="s">
        <v>2174</v>
      </c>
    </row>
    <row r="227" spans="1:9">
      <c r="A227" t="s">
        <v>2685</v>
      </c>
      <c r="B227" t="s">
        <v>2691</v>
      </c>
      <c r="C227" s="2" t="s">
        <v>248</v>
      </c>
      <c r="E227">
        <v>52041.14</v>
      </c>
      <c r="H227">
        <v>0.48</v>
      </c>
      <c r="I227" t="s">
        <v>2174</v>
      </c>
    </row>
    <row r="228" spans="1:9">
      <c r="A228" t="s">
        <v>2685</v>
      </c>
      <c r="B228" t="s">
        <v>2396</v>
      </c>
      <c r="C228" s="2" t="s">
        <v>1702</v>
      </c>
      <c r="E228">
        <v>51203.75</v>
      </c>
      <c r="H228">
        <v>1.218</v>
      </c>
      <c r="I228" t="s">
        <v>2174</v>
      </c>
    </row>
    <row r="229" spans="1:9">
      <c r="A229" t="s">
        <v>2685</v>
      </c>
      <c r="B229" t="s">
        <v>2396</v>
      </c>
      <c r="C229" s="2" t="s">
        <v>252</v>
      </c>
      <c r="E229">
        <v>51267.93</v>
      </c>
      <c r="H229">
        <v>1.083</v>
      </c>
      <c r="I229" t="s">
        <v>2174</v>
      </c>
    </row>
    <row r="230" spans="1:9">
      <c r="A230" t="s">
        <v>2685</v>
      </c>
      <c r="B230" t="s">
        <v>2396</v>
      </c>
      <c r="C230" s="2" t="s">
        <v>251</v>
      </c>
      <c r="E230">
        <v>52162.02</v>
      </c>
      <c r="H230">
        <v>1.1299999999999999</v>
      </c>
      <c r="I230" t="s">
        <v>2174</v>
      </c>
    </row>
    <row r="231" spans="1:9">
      <c r="A231" t="s">
        <v>2685</v>
      </c>
      <c r="B231" t="s">
        <v>2396</v>
      </c>
      <c r="C231" s="2" t="s">
        <v>249</v>
      </c>
      <c r="E231">
        <v>52772.3</v>
      </c>
      <c r="H231">
        <v>0.74</v>
      </c>
      <c r="I231" t="s">
        <v>2174</v>
      </c>
    </row>
    <row r="232" spans="1:9">
      <c r="B232" t="s">
        <v>135</v>
      </c>
      <c r="C232" s="2" t="s">
        <v>249</v>
      </c>
      <c r="E232">
        <v>51863.18</v>
      </c>
      <c r="I232" t="s">
        <v>2174</v>
      </c>
    </row>
    <row r="233" spans="1:9">
      <c r="B233" t="s">
        <v>137</v>
      </c>
      <c r="C233" s="2" t="s">
        <v>249</v>
      </c>
      <c r="E233">
        <v>51989.31</v>
      </c>
      <c r="F233" t="s">
        <v>34</v>
      </c>
      <c r="I233" t="s">
        <v>2174</v>
      </c>
    </row>
    <row r="234" spans="1:9">
      <c r="A234" t="s">
        <v>2685</v>
      </c>
      <c r="B234" t="s">
        <v>2692</v>
      </c>
      <c r="C234" s="2" t="s">
        <v>251</v>
      </c>
      <c r="E234">
        <v>52095</v>
      </c>
      <c r="H234">
        <v>1.1180000000000001</v>
      </c>
      <c r="I234" t="s">
        <v>2174</v>
      </c>
    </row>
    <row r="235" spans="1:9">
      <c r="A235" t="s">
        <v>2685</v>
      </c>
      <c r="B235" t="s">
        <v>2692</v>
      </c>
      <c r="C235" s="2" t="s">
        <v>249</v>
      </c>
      <c r="E235">
        <v>52970.62</v>
      </c>
      <c r="H235">
        <v>1.1299999999999999</v>
      </c>
      <c r="I235" t="s">
        <v>2174</v>
      </c>
    </row>
    <row r="236" spans="1:9">
      <c r="A236" t="s">
        <v>2685</v>
      </c>
      <c r="B236" t="s">
        <v>2693</v>
      </c>
      <c r="C236" s="2" t="s">
        <v>1702</v>
      </c>
      <c r="E236">
        <v>52113.91</v>
      </c>
      <c r="H236">
        <v>1.1299999999999999</v>
      </c>
      <c r="I236" t="s">
        <v>2174</v>
      </c>
    </row>
    <row r="237" spans="1:9">
      <c r="A237" t="s">
        <v>2685</v>
      </c>
      <c r="B237" t="s">
        <v>2693</v>
      </c>
      <c r="C237" s="2" t="s">
        <v>252</v>
      </c>
      <c r="E237">
        <v>52775.47</v>
      </c>
      <c r="H237">
        <v>0.97</v>
      </c>
      <c r="I237" t="s">
        <v>2174</v>
      </c>
    </row>
    <row r="238" spans="1:9">
      <c r="A238" t="s">
        <v>2685</v>
      </c>
      <c r="B238" t="s">
        <v>2694</v>
      </c>
      <c r="C238" s="2" t="s">
        <v>252</v>
      </c>
      <c r="E238">
        <v>52156.46</v>
      </c>
      <c r="H238">
        <v>1.1200000000000001</v>
      </c>
      <c r="I238" t="s">
        <v>2174</v>
      </c>
    </row>
    <row r="239" spans="1:9">
      <c r="A239" t="s">
        <v>2685</v>
      </c>
      <c r="B239" t="s">
        <v>2694</v>
      </c>
      <c r="C239" s="2" t="s">
        <v>251</v>
      </c>
      <c r="E239">
        <v>52856.68</v>
      </c>
      <c r="H239">
        <v>0.92</v>
      </c>
      <c r="I239" t="s">
        <v>2174</v>
      </c>
    </row>
    <row r="240" spans="1:9">
      <c r="A240" t="s">
        <v>2685</v>
      </c>
      <c r="B240" t="s">
        <v>2695</v>
      </c>
      <c r="C240" s="2" t="s">
        <v>249</v>
      </c>
      <c r="E240">
        <v>52460.1</v>
      </c>
      <c r="H240">
        <v>0.92</v>
      </c>
      <c r="I240" t="s">
        <v>2174</v>
      </c>
    </row>
    <row r="241" spans="1:9">
      <c r="A241" t="s">
        <v>2685</v>
      </c>
      <c r="B241" t="s">
        <v>2695</v>
      </c>
      <c r="C241" s="2" t="s">
        <v>250</v>
      </c>
      <c r="E241">
        <v>53343.27</v>
      </c>
      <c r="H241">
        <v>0.8</v>
      </c>
      <c r="I241" t="s">
        <v>2174</v>
      </c>
    </row>
    <row r="242" spans="1:9">
      <c r="B242" t="s">
        <v>2696</v>
      </c>
      <c r="C242" s="2" t="s">
        <v>251</v>
      </c>
      <c r="E242">
        <v>52476.639999999999</v>
      </c>
      <c r="I242" t="s">
        <v>2174</v>
      </c>
    </row>
    <row r="243" spans="1:9">
      <c r="B243" t="s">
        <v>139</v>
      </c>
      <c r="C243" s="2" t="s">
        <v>250</v>
      </c>
      <c r="E243">
        <v>52498.17</v>
      </c>
      <c r="I243" t="s">
        <v>2174</v>
      </c>
    </row>
    <row r="244" spans="1:9">
      <c r="B244" t="s">
        <v>2697</v>
      </c>
      <c r="C244" s="2" t="s">
        <v>250</v>
      </c>
      <c r="E244">
        <v>52526.04</v>
      </c>
      <c r="I244" t="s">
        <v>2174</v>
      </c>
    </row>
    <row r="245" spans="1:9">
      <c r="B245" t="s">
        <v>2697</v>
      </c>
      <c r="C245" s="2" t="s">
        <v>249</v>
      </c>
      <c r="E245">
        <v>52526.04</v>
      </c>
      <c r="I245" t="s">
        <v>2174</v>
      </c>
    </row>
    <row r="246" spans="1:9">
      <c r="A246" t="s">
        <v>2698</v>
      </c>
      <c r="B246" t="s">
        <v>2699</v>
      </c>
      <c r="C246" s="2" t="s">
        <v>251</v>
      </c>
      <c r="E246">
        <v>52763.68</v>
      </c>
      <c r="H246">
        <v>0.93300000000000005</v>
      </c>
      <c r="I246" t="s">
        <v>2174</v>
      </c>
    </row>
    <row r="247" spans="1:9">
      <c r="A247" t="s">
        <v>2698</v>
      </c>
      <c r="B247" t="s">
        <v>2699</v>
      </c>
      <c r="C247" s="2" t="s">
        <v>249</v>
      </c>
      <c r="E247">
        <v>53704.14</v>
      </c>
      <c r="H247">
        <v>0.92300000000000004</v>
      </c>
      <c r="I247" t="s">
        <v>2174</v>
      </c>
    </row>
    <row r="248" spans="1:9">
      <c r="A248" t="s">
        <v>2657</v>
      </c>
      <c r="B248" t="s">
        <v>219</v>
      </c>
      <c r="C248" s="2" t="s">
        <v>249</v>
      </c>
      <c r="E248">
        <v>52796.13</v>
      </c>
      <c r="H248">
        <v>0.88300000000000001</v>
      </c>
      <c r="I248" t="s">
        <v>2700</v>
      </c>
    </row>
    <row r="249" spans="1:9">
      <c r="A249" t="s">
        <v>2657</v>
      </c>
      <c r="B249" t="s">
        <v>219</v>
      </c>
      <c r="C249" s="2" t="s">
        <v>251</v>
      </c>
      <c r="E249">
        <v>53103.78</v>
      </c>
      <c r="H249">
        <v>1.1359999999999999</v>
      </c>
      <c r="I249" t="s">
        <v>2701</v>
      </c>
    </row>
    <row r="250" spans="1:9">
      <c r="A250" t="s">
        <v>2698</v>
      </c>
      <c r="B250" t="s">
        <v>2702</v>
      </c>
      <c r="C250" s="2" t="s">
        <v>252</v>
      </c>
      <c r="E250">
        <v>52864.41</v>
      </c>
      <c r="H250">
        <v>1.3069999999999999</v>
      </c>
      <c r="I250" t="s">
        <v>2174</v>
      </c>
    </row>
    <row r="251" spans="1:9">
      <c r="A251" t="s">
        <v>2698</v>
      </c>
      <c r="B251" t="s">
        <v>2702</v>
      </c>
      <c r="C251" s="2" t="s">
        <v>251</v>
      </c>
      <c r="E251">
        <v>53694.57</v>
      </c>
      <c r="F251" t="s">
        <v>34</v>
      </c>
      <c r="H251">
        <v>1.28</v>
      </c>
      <c r="I251" t="s">
        <v>2174</v>
      </c>
    </row>
    <row r="252" spans="1:9">
      <c r="A252" t="s">
        <v>2698</v>
      </c>
      <c r="B252" t="s">
        <v>2702</v>
      </c>
      <c r="C252" s="2" t="s">
        <v>249</v>
      </c>
      <c r="E252">
        <v>54258.75</v>
      </c>
      <c r="F252" t="s">
        <v>34</v>
      </c>
      <c r="H252">
        <v>0.98599999999999999</v>
      </c>
      <c r="I252" t="s">
        <v>2174</v>
      </c>
    </row>
    <row r="253" spans="1:9">
      <c r="A253" t="s">
        <v>2698</v>
      </c>
      <c r="B253" t="s">
        <v>2702</v>
      </c>
      <c r="C253" s="2" t="s">
        <v>250</v>
      </c>
      <c r="E253">
        <v>54426.64</v>
      </c>
      <c r="H253">
        <v>0.42199999999999999</v>
      </c>
      <c r="I253" t="s">
        <v>2174</v>
      </c>
    </row>
    <row r="254" spans="1:9">
      <c r="B254" t="s">
        <v>142</v>
      </c>
      <c r="C254" s="2" t="s">
        <v>252</v>
      </c>
      <c r="E254">
        <v>53065.96</v>
      </c>
      <c r="I254" t="s">
        <v>2174</v>
      </c>
    </row>
    <row r="255" spans="1:9">
      <c r="B255" t="s">
        <v>142</v>
      </c>
      <c r="C255" s="2" t="s">
        <v>251</v>
      </c>
      <c r="E255">
        <v>53065.96</v>
      </c>
      <c r="I255" t="s">
        <v>2174</v>
      </c>
    </row>
    <row r="256" spans="1:9">
      <c r="A256" t="s">
        <v>2657</v>
      </c>
      <c r="B256" t="s">
        <v>2703</v>
      </c>
      <c r="C256" s="2" t="s">
        <v>250</v>
      </c>
      <c r="E256">
        <v>53074.92</v>
      </c>
      <c r="H256">
        <v>0.82299999999999995</v>
      </c>
      <c r="I256" t="s">
        <v>2704</v>
      </c>
    </row>
    <row r="257" spans="1:9">
      <c r="A257" t="s">
        <v>2657</v>
      </c>
      <c r="B257" t="s">
        <v>2703</v>
      </c>
      <c r="C257" s="2" t="s">
        <v>249</v>
      </c>
      <c r="E257">
        <v>53195.98</v>
      </c>
      <c r="H257">
        <v>1.206</v>
      </c>
      <c r="I257" t="s">
        <v>2705</v>
      </c>
    </row>
    <row r="258" spans="1:9">
      <c r="A258" t="s">
        <v>2661</v>
      </c>
      <c r="B258" t="s">
        <v>1313</v>
      </c>
      <c r="C258" s="2" t="s">
        <v>252</v>
      </c>
      <c r="E258">
        <v>53276.02</v>
      </c>
      <c r="H258">
        <v>1.1240000000000001</v>
      </c>
      <c r="I258" t="s">
        <v>2706</v>
      </c>
    </row>
    <row r="259" spans="1:9">
      <c r="A259" t="s">
        <v>2661</v>
      </c>
      <c r="B259" t="s">
        <v>1313</v>
      </c>
      <c r="C259" s="2" t="s">
        <v>251</v>
      </c>
      <c r="E259">
        <v>53373.53</v>
      </c>
      <c r="H259">
        <v>0.88800000000000001</v>
      </c>
      <c r="I259" t="s">
        <v>2707</v>
      </c>
    </row>
    <row r="260" spans="1:9">
      <c r="B260" t="s">
        <v>144</v>
      </c>
      <c r="C260" s="2" t="s">
        <v>251</v>
      </c>
      <c r="E260">
        <v>53463.1</v>
      </c>
      <c r="I260" t="s">
        <v>2174</v>
      </c>
    </row>
    <row r="261" spans="1:9">
      <c r="A261" t="s">
        <v>2708</v>
      </c>
      <c r="B261" t="s">
        <v>2493</v>
      </c>
      <c r="C261" s="2" t="s">
        <v>1702</v>
      </c>
      <c r="E261">
        <v>53511.83</v>
      </c>
      <c r="H261">
        <v>1.274</v>
      </c>
      <c r="I261" t="s">
        <v>2174</v>
      </c>
    </row>
    <row r="262" spans="1:9">
      <c r="A262" t="s">
        <v>2708</v>
      </c>
      <c r="B262" t="s">
        <v>2493</v>
      </c>
      <c r="C262" s="2" t="s">
        <v>252</v>
      </c>
      <c r="E262">
        <v>54158.17</v>
      </c>
      <c r="H262">
        <v>1.25</v>
      </c>
      <c r="I262" t="s">
        <v>2174</v>
      </c>
    </row>
    <row r="263" spans="1:9">
      <c r="A263" t="s">
        <v>2708</v>
      </c>
      <c r="B263" t="s">
        <v>2493</v>
      </c>
      <c r="C263" s="2" t="s">
        <v>251</v>
      </c>
      <c r="E263">
        <v>54514.67</v>
      </c>
      <c r="H263">
        <v>1.23</v>
      </c>
      <c r="I263" t="s">
        <v>2174</v>
      </c>
    </row>
    <row r="264" spans="1:9">
      <c r="A264" t="s">
        <v>2708</v>
      </c>
      <c r="B264" t="s">
        <v>2493</v>
      </c>
      <c r="C264" s="2" t="s">
        <v>249</v>
      </c>
      <c r="E264">
        <v>55165.63</v>
      </c>
      <c r="F264" t="s">
        <v>34</v>
      </c>
      <c r="I264" t="s">
        <v>2174</v>
      </c>
    </row>
    <row r="265" spans="1:9">
      <c r="A265" t="s">
        <v>2708</v>
      </c>
      <c r="B265" t="s">
        <v>2709</v>
      </c>
      <c r="C265" s="2" t="s">
        <v>720</v>
      </c>
      <c r="E265">
        <v>53618.080000000002</v>
      </c>
      <c r="H265">
        <v>1.2270000000000001</v>
      </c>
      <c r="I265" t="s">
        <v>2174</v>
      </c>
    </row>
    <row r="266" spans="1:9">
      <c r="A266" t="s">
        <v>2708</v>
      </c>
      <c r="B266" t="s">
        <v>2709</v>
      </c>
      <c r="C266" s="2" t="s">
        <v>1702</v>
      </c>
      <c r="E266">
        <v>54315.67</v>
      </c>
      <c r="H266">
        <v>1.1679999999999999</v>
      </c>
      <c r="I266" t="s">
        <v>2174</v>
      </c>
    </row>
    <row r="267" spans="1:9">
      <c r="A267" t="s">
        <v>2708</v>
      </c>
      <c r="B267" t="s">
        <v>2709</v>
      </c>
      <c r="C267" s="2" t="s">
        <v>252</v>
      </c>
      <c r="E267">
        <v>54860.93</v>
      </c>
      <c r="H267">
        <v>1.1000000000000001</v>
      </c>
      <c r="I267" t="s">
        <v>2174</v>
      </c>
    </row>
    <row r="268" spans="1:9">
      <c r="A268" t="s">
        <v>2708</v>
      </c>
      <c r="B268" t="s">
        <v>2709</v>
      </c>
      <c r="C268" s="2" t="s">
        <v>251</v>
      </c>
      <c r="E268">
        <v>55268.75</v>
      </c>
      <c r="H268">
        <v>0.85699999999999998</v>
      </c>
      <c r="I268" t="s">
        <v>2174</v>
      </c>
    </row>
    <row r="269" spans="1:9">
      <c r="A269" t="s">
        <v>2708</v>
      </c>
      <c r="B269" t="s">
        <v>1456</v>
      </c>
      <c r="C269" s="2" t="s">
        <v>1702</v>
      </c>
      <c r="E269">
        <v>53660.37</v>
      </c>
      <c r="H269">
        <v>1.421</v>
      </c>
      <c r="I269" t="s">
        <v>2174</v>
      </c>
    </row>
    <row r="270" spans="1:9">
      <c r="A270" t="s">
        <v>2708</v>
      </c>
      <c r="B270" t="s">
        <v>1456</v>
      </c>
      <c r="C270" s="2" t="s">
        <v>252</v>
      </c>
      <c r="E270">
        <v>54356.45</v>
      </c>
      <c r="H270">
        <v>1.403</v>
      </c>
      <c r="I270" t="s">
        <v>2174</v>
      </c>
    </row>
    <row r="271" spans="1:9">
      <c r="A271" t="s">
        <v>2708</v>
      </c>
      <c r="B271" t="s">
        <v>1456</v>
      </c>
      <c r="C271" s="2" t="s">
        <v>251</v>
      </c>
      <c r="E271">
        <v>54896.57</v>
      </c>
      <c r="H271">
        <v>1.27</v>
      </c>
      <c r="I271" t="s">
        <v>2174</v>
      </c>
    </row>
    <row r="272" spans="1:9">
      <c r="A272" t="s">
        <v>2708</v>
      </c>
      <c r="B272" t="s">
        <v>1456</v>
      </c>
      <c r="C272" s="2" t="s">
        <v>249</v>
      </c>
      <c r="E272">
        <v>55283.02</v>
      </c>
      <c r="H272">
        <v>1.17</v>
      </c>
      <c r="I272" t="s">
        <v>2174</v>
      </c>
    </row>
    <row r="273" spans="1:9">
      <c r="A273" t="s">
        <v>2708</v>
      </c>
      <c r="B273" t="s">
        <v>1456</v>
      </c>
      <c r="C273" s="2" t="s">
        <v>250</v>
      </c>
      <c r="E273">
        <v>55577.279999999999</v>
      </c>
      <c r="F273" t="s">
        <v>34</v>
      </c>
      <c r="H273">
        <v>1.07</v>
      </c>
      <c r="I273" t="s">
        <v>2174</v>
      </c>
    </row>
    <row r="274" spans="1:9">
      <c r="A274" t="s">
        <v>2708</v>
      </c>
      <c r="B274" t="s">
        <v>2285</v>
      </c>
      <c r="C274" s="2" t="s">
        <v>251</v>
      </c>
      <c r="E274">
        <v>53702.13</v>
      </c>
      <c r="H274">
        <v>1.377</v>
      </c>
      <c r="I274" t="s">
        <v>2174</v>
      </c>
    </row>
    <row r="275" spans="1:9">
      <c r="A275" t="s">
        <v>2708</v>
      </c>
      <c r="B275" t="s">
        <v>2285</v>
      </c>
      <c r="C275" s="2" t="s">
        <v>249</v>
      </c>
      <c r="E275">
        <v>54282.73</v>
      </c>
      <c r="F275" t="s">
        <v>34</v>
      </c>
      <c r="I275" t="s">
        <v>2174</v>
      </c>
    </row>
    <row r="276" spans="1:9">
      <c r="A276" t="s">
        <v>2708</v>
      </c>
      <c r="B276" t="s">
        <v>1309</v>
      </c>
      <c r="C276" s="2" t="s">
        <v>252</v>
      </c>
      <c r="E276">
        <v>53725.2</v>
      </c>
      <c r="H276">
        <v>1.387</v>
      </c>
      <c r="I276" t="s">
        <v>2174</v>
      </c>
    </row>
    <row r="277" spans="1:9">
      <c r="A277" t="s">
        <v>2708</v>
      </c>
      <c r="B277" t="s">
        <v>1309</v>
      </c>
      <c r="C277" s="2" t="s">
        <v>251</v>
      </c>
      <c r="E277">
        <v>54352.3</v>
      </c>
      <c r="H277">
        <v>1.48</v>
      </c>
      <c r="I277" t="s">
        <v>2174</v>
      </c>
    </row>
    <row r="278" spans="1:9">
      <c r="A278" t="s">
        <v>2708</v>
      </c>
      <c r="B278" t="s">
        <v>1309</v>
      </c>
      <c r="C278" s="2" t="s">
        <v>249</v>
      </c>
      <c r="E278">
        <v>54946.9</v>
      </c>
      <c r="H278">
        <v>1.47</v>
      </c>
      <c r="I278" t="s">
        <v>2174</v>
      </c>
    </row>
    <row r="279" spans="1:9">
      <c r="A279" t="s">
        <v>2708</v>
      </c>
      <c r="B279" t="s">
        <v>1309</v>
      </c>
      <c r="C279" s="2" t="s">
        <v>250</v>
      </c>
      <c r="E279">
        <v>55407.1</v>
      </c>
      <c r="F279" t="s">
        <v>34</v>
      </c>
      <c r="H279">
        <v>2.14</v>
      </c>
      <c r="I279" t="s">
        <v>2174</v>
      </c>
    </row>
    <row r="280" spans="1:9">
      <c r="A280" t="s">
        <v>2708</v>
      </c>
      <c r="B280" t="s">
        <v>1436</v>
      </c>
      <c r="C280" s="2" t="s">
        <v>720</v>
      </c>
      <c r="E280">
        <v>53728.36</v>
      </c>
      <c r="F280" t="s">
        <v>34</v>
      </c>
      <c r="H280">
        <v>1.35</v>
      </c>
      <c r="I280" t="s">
        <v>2174</v>
      </c>
    </row>
    <row r="281" spans="1:9">
      <c r="A281" t="s">
        <v>2708</v>
      </c>
      <c r="B281" t="s">
        <v>1436</v>
      </c>
      <c r="C281" s="2" t="s">
        <v>1702</v>
      </c>
      <c r="E281">
        <v>54367.43</v>
      </c>
      <c r="H281">
        <v>1.32</v>
      </c>
      <c r="I281" t="s">
        <v>2174</v>
      </c>
    </row>
    <row r="282" spans="1:9">
      <c r="A282" t="s">
        <v>2708</v>
      </c>
      <c r="B282" t="s">
        <v>1436</v>
      </c>
      <c r="C282" s="2" t="s">
        <v>252</v>
      </c>
      <c r="E282">
        <v>54682.91</v>
      </c>
      <c r="H282">
        <v>1.23</v>
      </c>
      <c r="I282" t="s">
        <v>2174</v>
      </c>
    </row>
    <row r="283" spans="1:9">
      <c r="A283" t="s">
        <v>2708</v>
      </c>
      <c r="B283" t="s">
        <v>1436</v>
      </c>
      <c r="C283" s="2" t="s">
        <v>251</v>
      </c>
      <c r="E283">
        <v>54989.62</v>
      </c>
      <c r="F283" t="s">
        <v>34</v>
      </c>
      <c r="H283">
        <v>1.23</v>
      </c>
      <c r="I283" t="s">
        <v>2174</v>
      </c>
    </row>
    <row r="284" spans="1:9">
      <c r="A284" t="s">
        <v>2708</v>
      </c>
      <c r="B284" t="s">
        <v>1436</v>
      </c>
      <c r="C284" s="2" t="s">
        <v>250</v>
      </c>
      <c r="E284">
        <v>55389.73</v>
      </c>
      <c r="I284" t="s">
        <v>2174</v>
      </c>
    </row>
    <row r="285" spans="1:9">
      <c r="A285" t="s">
        <v>2708</v>
      </c>
      <c r="B285" t="s">
        <v>1436</v>
      </c>
      <c r="C285" s="2" t="s">
        <v>249</v>
      </c>
      <c r="E285">
        <v>55449.97</v>
      </c>
      <c r="H285">
        <v>1.1990000000000001</v>
      </c>
      <c r="I285" t="s">
        <v>2174</v>
      </c>
    </row>
    <row r="286" spans="1:9">
      <c r="A286" t="s">
        <v>2708</v>
      </c>
      <c r="B286" t="s">
        <v>2710</v>
      </c>
      <c r="C286" s="2" t="s">
        <v>252</v>
      </c>
      <c r="E286">
        <v>53788.78</v>
      </c>
      <c r="H286">
        <v>1.3160000000000001</v>
      </c>
      <c r="I286" t="s">
        <v>2174</v>
      </c>
    </row>
    <row r="287" spans="1:9">
      <c r="A287" t="s">
        <v>2708</v>
      </c>
      <c r="B287" t="s">
        <v>2710</v>
      </c>
      <c r="C287" s="2" t="s">
        <v>251</v>
      </c>
      <c r="E287">
        <v>54477.07</v>
      </c>
      <c r="I287" t="s">
        <v>2174</v>
      </c>
    </row>
    <row r="288" spans="1:9">
      <c r="A288" t="s">
        <v>2708</v>
      </c>
      <c r="B288" t="s">
        <v>2710</v>
      </c>
      <c r="C288" s="2" t="s">
        <v>249</v>
      </c>
      <c r="E288">
        <v>54904.99</v>
      </c>
      <c r="H288">
        <v>0.85</v>
      </c>
      <c r="I288" t="s">
        <v>2174</v>
      </c>
    </row>
    <row r="289" spans="1:9">
      <c r="A289" t="s">
        <v>2708</v>
      </c>
      <c r="B289" t="s">
        <v>1443</v>
      </c>
      <c r="C289" s="2" t="s">
        <v>251</v>
      </c>
      <c r="E289">
        <v>53789.120000000003</v>
      </c>
      <c r="H289">
        <v>1.635</v>
      </c>
      <c r="I289" t="s">
        <v>2174</v>
      </c>
    </row>
    <row r="290" spans="1:9">
      <c r="A290" t="s">
        <v>2708</v>
      </c>
      <c r="B290" t="s">
        <v>1443</v>
      </c>
      <c r="C290" s="2" t="s">
        <v>249</v>
      </c>
      <c r="E290">
        <v>54445.61</v>
      </c>
      <c r="H290">
        <v>1.5940000000000001</v>
      </c>
      <c r="I290" t="s">
        <v>2174</v>
      </c>
    </row>
    <row r="291" spans="1:9">
      <c r="A291" t="s">
        <v>2708</v>
      </c>
      <c r="B291" t="s">
        <v>1443</v>
      </c>
      <c r="C291" s="2" t="s">
        <v>250</v>
      </c>
      <c r="E291">
        <v>54949.97</v>
      </c>
      <c r="H291">
        <v>2.1339999999999999</v>
      </c>
      <c r="I291" t="s">
        <v>2174</v>
      </c>
    </row>
    <row r="292" spans="1:9">
      <c r="A292" t="s">
        <v>2708</v>
      </c>
      <c r="B292" t="s">
        <v>1513</v>
      </c>
      <c r="C292" s="2" t="s">
        <v>1322</v>
      </c>
      <c r="E292">
        <v>53822.080000000002</v>
      </c>
      <c r="H292">
        <v>1.34</v>
      </c>
      <c r="I292" t="s">
        <v>2174</v>
      </c>
    </row>
    <row r="293" spans="1:9">
      <c r="A293" t="s">
        <v>2708</v>
      </c>
      <c r="B293" t="s">
        <v>1513</v>
      </c>
      <c r="C293" s="2" t="s">
        <v>720</v>
      </c>
      <c r="E293">
        <v>54452.38</v>
      </c>
      <c r="H293">
        <v>1.2889999999999999</v>
      </c>
      <c r="I293" t="s">
        <v>2174</v>
      </c>
    </row>
    <row r="294" spans="1:9">
      <c r="A294" t="s">
        <v>2708</v>
      </c>
      <c r="B294" t="s">
        <v>1513</v>
      </c>
      <c r="C294" s="2" t="s">
        <v>1702</v>
      </c>
      <c r="E294">
        <v>54947.68</v>
      </c>
      <c r="H294">
        <v>1.22</v>
      </c>
      <c r="I294" t="s">
        <v>2174</v>
      </c>
    </row>
    <row r="295" spans="1:9">
      <c r="A295" t="s">
        <v>2708</v>
      </c>
      <c r="B295" t="s">
        <v>1513</v>
      </c>
      <c r="C295" s="2" t="s">
        <v>252</v>
      </c>
      <c r="E295">
        <v>55312.959999999999</v>
      </c>
      <c r="H295">
        <v>1.1080000000000001</v>
      </c>
      <c r="I295" t="s">
        <v>2174</v>
      </c>
    </row>
    <row r="296" spans="1:9">
      <c r="A296" t="s">
        <v>2708</v>
      </c>
      <c r="B296" t="s">
        <v>1513</v>
      </c>
      <c r="C296" s="2" t="s">
        <v>251</v>
      </c>
      <c r="E296">
        <v>55520.639999999999</v>
      </c>
      <c r="H296">
        <v>0.92200000000000004</v>
      </c>
      <c r="I296" t="s">
        <v>2174</v>
      </c>
    </row>
    <row r="297" spans="1:9">
      <c r="A297" t="s">
        <v>2708</v>
      </c>
      <c r="B297" t="s">
        <v>1513</v>
      </c>
      <c r="C297" s="2" t="s">
        <v>249</v>
      </c>
      <c r="E297">
        <v>55555.34</v>
      </c>
      <c r="I297" t="s">
        <v>2174</v>
      </c>
    </row>
    <row r="298" spans="1:9">
      <c r="A298" t="s">
        <v>2708</v>
      </c>
      <c r="B298" t="s">
        <v>2711</v>
      </c>
      <c r="C298" s="2" t="s">
        <v>249</v>
      </c>
      <c r="E298">
        <v>53936.68</v>
      </c>
      <c r="H298">
        <v>1.46</v>
      </c>
      <c r="I298" t="s">
        <v>2174</v>
      </c>
    </row>
    <row r="299" spans="1:9">
      <c r="A299" t="s">
        <v>2657</v>
      </c>
      <c r="B299" t="s">
        <v>211</v>
      </c>
      <c r="C299" s="2" t="s">
        <v>250</v>
      </c>
      <c r="E299">
        <v>54165.35</v>
      </c>
      <c r="H299">
        <v>1.353</v>
      </c>
      <c r="I299">
        <v>87</v>
      </c>
    </row>
    <row r="300" spans="1:9">
      <c r="B300" t="s">
        <v>146</v>
      </c>
      <c r="C300" s="2" t="s">
        <v>251</v>
      </c>
      <c r="E300">
        <v>54398.6</v>
      </c>
      <c r="I300" t="s">
        <v>2174</v>
      </c>
    </row>
    <row r="301" spans="1:9">
      <c r="B301">
        <v>1</v>
      </c>
      <c r="C301" s="2" t="s">
        <v>249</v>
      </c>
      <c r="E301">
        <v>54561.74</v>
      </c>
      <c r="H301">
        <v>1.323</v>
      </c>
      <c r="I301" t="s">
        <v>2174</v>
      </c>
    </row>
    <row r="302" spans="1:9">
      <c r="B302" t="s">
        <v>2399</v>
      </c>
      <c r="C302" s="2" t="s">
        <v>252</v>
      </c>
      <c r="E302">
        <v>54791.199999999997</v>
      </c>
      <c r="I302" t="s">
        <v>2174</v>
      </c>
    </row>
    <row r="303" spans="1:9">
      <c r="B303" t="s">
        <v>2399</v>
      </c>
      <c r="C303" s="2" t="s">
        <v>251</v>
      </c>
      <c r="E303">
        <v>55314.04</v>
      </c>
      <c r="F303" t="s">
        <v>34</v>
      </c>
      <c r="I303" t="s">
        <v>2174</v>
      </c>
    </row>
    <row r="304" spans="1:9">
      <c r="B304" t="s">
        <v>2399</v>
      </c>
      <c r="C304" s="2" t="s">
        <v>250</v>
      </c>
      <c r="E304">
        <v>55622.84</v>
      </c>
      <c r="I304" t="s">
        <v>2174</v>
      </c>
    </row>
    <row r="305" spans="2:9">
      <c r="B305" t="s">
        <v>2399</v>
      </c>
      <c r="C305" s="2" t="s">
        <v>249</v>
      </c>
      <c r="E305">
        <v>55684.7</v>
      </c>
      <c r="I305" t="s">
        <v>2174</v>
      </c>
    </row>
    <row r="306" spans="2:9">
      <c r="B306" t="s">
        <v>147</v>
      </c>
      <c r="C306" s="2" t="s">
        <v>252</v>
      </c>
      <c r="E306">
        <v>54874.080000000002</v>
      </c>
      <c r="I306" t="s">
        <v>2174</v>
      </c>
    </row>
    <row r="307" spans="2:9">
      <c r="B307" t="s">
        <v>148</v>
      </c>
      <c r="C307" s="2" t="s">
        <v>251</v>
      </c>
      <c r="E307">
        <v>54932.32</v>
      </c>
      <c r="I307" t="s">
        <v>2174</v>
      </c>
    </row>
    <row r="308" spans="2:9">
      <c r="B308" t="s">
        <v>149</v>
      </c>
      <c r="C308" s="2" t="s">
        <v>249</v>
      </c>
      <c r="E308">
        <v>55061.49</v>
      </c>
      <c r="H308">
        <v>1.5389999999999999</v>
      </c>
      <c r="I308" t="s">
        <v>2174</v>
      </c>
    </row>
    <row r="309" spans="2:9">
      <c r="B309">
        <v>2</v>
      </c>
      <c r="C309" s="2" t="s">
        <v>250</v>
      </c>
      <c r="E309">
        <v>55078.76</v>
      </c>
      <c r="H309">
        <v>1.46</v>
      </c>
      <c r="I309" t="s">
        <v>2174</v>
      </c>
    </row>
    <row r="310" spans="2:9">
      <c r="B310" t="s">
        <v>150</v>
      </c>
      <c r="C310" s="2" t="s">
        <v>251</v>
      </c>
      <c r="E310">
        <v>55120.3</v>
      </c>
      <c r="F310" t="s">
        <v>34</v>
      </c>
      <c r="I310" t="s">
        <v>2174</v>
      </c>
    </row>
    <row r="311" spans="2:9">
      <c r="B311">
        <v>3</v>
      </c>
      <c r="C311" s="2" t="s">
        <v>251</v>
      </c>
      <c r="E311">
        <v>55223.14</v>
      </c>
      <c r="H311">
        <v>1.1399999999999999</v>
      </c>
      <c r="I311" t="s">
        <v>2174</v>
      </c>
    </row>
    <row r="312" spans="2:9">
      <c r="B312" t="s">
        <v>151</v>
      </c>
      <c r="C312" s="2" t="s">
        <v>249</v>
      </c>
      <c r="E312">
        <v>55387.11</v>
      </c>
      <c r="F312" t="s">
        <v>34</v>
      </c>
      <c r="H312">
        <v>1.17</v>
      </c>
      <c r="I312" t="s">
        <v>2174</v>
      </c>
    </row>
    <row r="313" spans="2:9">
      <c r="B313" t="s">
        <v>152</v>
      </c>
      <c r="C313" s="2" t="s">
        <v>249</v>
      </c>
      <c r="E313">
        <v>55508.78</v>
      </c>
      <c r="I313" t="s">
        <v>2174</v>
      </c>
    </row>
    <row r="314" spans="2:9">
      <c r="B314">
        <v>4</v>
      </c>
      <c r="C314" s="2" t="s">
        <v>249</v>
      </c>
      <c r="E314">
        <v>55598.74</v>
      </c>
      <c r="I314" t="s">
        <v>2174</v>
      </c>
    </row>
    <row r="315" spans="2:9">
      <c r="B315">
        <v>5</v>
      </c>
      <c r="C315" s="2" t="s">
        <v>249</v>
      </c>
      <c r="E315">
        <v>55721.01</v>
      </c>
      <c r="I315" t="s">
        <v>2174</v>
      </c>
    </row>
    <row r="316" spans="2:9">
      <c r="B316">
        <v>5</v>
      </c>
      <c r="C316" s="2" t="s">
        <v>250</v>
      </c>
      <c r="E316">
        <v>55721.01</v>
      </c>
      <c r="I316" t="s">
        <v>2174</v>
      </c>
    </row>
    <row r="317" spans="2:9">
      <c r="B317" t="s">
        <v>153</v>
      </c>
      <c r="C317" s="2" t="s">
        <v>250</v>
      </c>
      <c r="E317">
        <v>55737.87</v>
      </c>
      <c r="I317" t="s">
        <v>2174</v>
      </c>
    </row>
    <row r="318" spans="2:9">
      <c r="B318" t="s">
        <v>154</v>
      </c>
      <c r="C318" s="2" t="s">
        <v>250</v>
      </c>
      <c r="E318">
        <v>55818.91</v>
      </c>
      <c r="H318">
        <v>1.31</v>
      </c>
      <c r="I318" t="s">
        <v>2174</v>
      </c>
    </row>
    <row r="319" spans="2:9">
      <c r="B319">
        <v>6</v>
      </c>
      <c r="C319" s="2" t="s">
        <v>248</v>
      </c>
      <c r="E319">
        <v>55826.81</v>
      </c>
      <c r="I319" t="s">
        <v>2174</v>
      </c>
    </row>
    <row r="320" spans="2:9">
      <c r="B320" t="s">
        <v>155</v>
      </c>
      <c r="C320" s="2" t="s">
        <v>249</v>
      </c>
      <c r="E320">
        <v>55922.3</v>
      </c>
      <c r="I320" t="s">
        <v>2174</v>
      </c>
    </row>
    <row r="321" spans="1:10">
      <c r="B321" t="s">
        <v>155</v>
      </c>
      <c r="C321" s="2" t="s">
        <v>250</v>
      </c>
      <c r="E321">
        <v>55922.3</v>
      </c>
      <c r="I321" t="s">
        <v>2174</v>
      </c>
    </row>
    <row r="322" spans="1:10">
      <c r="A322" t="s">
        <v>2712</v>
      </c>
      <c r="B322" t="s">
        <v>2713</v>
      </c>
      <c r="C322" s="2" t="s">
        <v>249</v>
      </c>
      <c r="E322">
        <v>56545.51</v>
      </c>
      <c r="F322" t="s">
        <v>34</v>
      </c>
      <c r="I322" t="s">
        <v>2174</v>
      </c>
    </row>
    <row r="323" spans="1:10">
      <c r="B323" t="s">
        <v>2714</v>
      </c>
      <c r="C323" s="2" t="s">
        <v>720</v>
      </c>
      <c r="E323">
        <v>57922.06</v>
      </c>
      <c r="I323" t="s">
        <v>2174</v>
      </c>
    </row>
    <row r="324" spans="1:10">
      <c r="B324" t="s">
        <v>2714</v>
      </c>
      <c r="C324" s="2" t="s">
        <v>1702</v>
      </c>
      <c r="E324">
        <v>58441.03</v>
      </c>
      <c r="I324" t="s">
        <v>2174</v>
      </c>
    </row>
    <row r="325" spans="1:10">
      <c r="B325" t="s">
        <v>2714</v>
      </c>
      <c r="C325" s="2" t="s">
        <v>252</v>
      </c>
      <c r="E325">
        <v>58673.73</v>
      </c>
      <c r="I325" t="s">
        <v>2174</v>
      </c>
    </row>
    <row r="326" spans="1:10">
      <c r="B326" t="s">
        <v>2714</v>
      </c>
      <c r="C326" s="2" t="s">
        <v>251</v>
      </c>
      <c r="E326">
        <v>59314.82</v>
      </c>
      <c r="F326" t="s">
        <v>34</v>
      </c>
      <c r="I326" t="s">
        <v>2174</v>
      </c>
    </row>
    <row r="327" spans="1:10">
      <c r="B327" t="s">
        <v>161</v>
      </c>
      <c r="C327" s="2" t="s">
        <v>252</v>
      </c>
      <c r="E327">
        <v>58187.39</v>
      </c>
      <c r="I327" t="s">
        <v>2174</v>
      </c>
    </row>
    <row r="328" spans="1:10">
      <c r="B328" t="s">
        <v>161</v>
      </c>
      <c r="C328" s="2" t="s">
        <v>251</v>
      </c>
      <c r="E328">
        <v>58187.39</v>
      </c>
      <c r="I328" t="s">
        <v>2174</v>
      </c>
    </row>
    <row r="329" spans="1:10">
      <c r="B329" t="s">
        <v>162</v>
      </c>
      <c r="C329" s="2" t="s">
        <v>249</v>
      </c>
      <c r="E329">
        <v>59388.89</v>
      </c>
      <c r="I329" t="s">
        <v>2174</v>
      </c>
    </row>
    <row r="330" spans="1:10">
      <c r="B330" t="s">
        <v>162</v>
      </c>
      <c r="C330" s="2" t="s">
        <v>251</v>
      </c>
      <c r="E330">
        <v>59388.89</v>
      </c>
      <c r="I330" t="s">
        <v>2174</v>
      </c>
    </row>
    <row r="331" spans="1:10">
      <c r="A331" t="s">
        <v>2715</v>
      </c>
      <c r="B331" t="s">
        <v>202</v>
      </c>
      <c r="C331" s="2" t="s">
        <v>203</v>
      </c>
      <c r="E331">
        <v>63564.6</v>
      </c>
      <c r="G331">
        <v>1</v>
      </c>
      <c r="I331" t="s">
        <v>2174</v>
      </c>
      <c r="J331" t="s">
        <v>2716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1F30-C342-4F00-9371-49F57B52D504}">
  <dimension ref="A1:J289"/>
  <sheetViews>
    <sheetView workbookViewId="0"/>
  </sheetViews>
  <sheetFormatPr defaultRowHeight="15"/>
  <cols>
    <col min="1" max="1" width="18.28515625" bestFit="1" customWidth="1"/>
    <col min="5" max="5" width="11.85546875" bestFit="1" customWidth="1"/>
    <col min="7" max="7" width="17.7109375" bestFit="1" customWidth="1"/>
    <col min="9" max="9" width="41" bestFit="1" customWidth="1"/>
    <col min="10" max="10" width="10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253</v>
      </c>
      <c r="B2" t="s">
        <v>254</v>
      </c>
      <c r="C2">
        <v>4</v>
      </c>
      <c r="E2">
        <v>0</v>
      </c>
      <c r="H2">
        <v>1.2496499999999999</v>
      </c>
      <c r="I2">
        <v>97</v>
      </c>
      <c r="J2" t="s">
        <v>255</v>
      </c>
    </row>
    <row r="3" spans="1:10">
      <c r="A3" t="s">
        <v>253</v>
      </c>
      <c r="B3" t="s">
        <v>254</v>
      </c>
      <c r="C3">
        <v>3</v>
      </c>
      <c r="E3">
        <v>1332.164</v>
      </c>
      <c r="H3">
        <v>1.0828</v>
      </c>
      <c r="I3">
        <v>97</v>
      </c>
    </row>
    <row r="4" spans="1:10">
      <c r="A4" t="s">
        <v>253</v>
      </c>
      <c r="B4" t="s">
        <v>254</v>
      </c>
      <c r="C4">
        <v>2</v>
      </c>
      <c r="E4">
        <v>2216.5500000000002</v>
      </c>
      <c r="H4">
        <v>0.66956000000000004</v>
      </c>
      <c r="I4">
        <v>96</v>
      </c>
    </row>
    <row r="5" spans="1:10">
      <c r="A5" t="s">
        <v>256</v>
      </c>
      <c r="B5" t="s">
        <v>257</v>
      </c>
      <c r="C5">
        <v>3</v>
      </c>
      <c r="E5">
        <v>204.78700000000001</v>
      </c>
      <c r="H5">
        <v>1.3335399999999999</v>
      </c>
      <c r="I5">
        <v>99</v>
      </c>
    </row>
    <row r="6" spans="1:10">
      <c r="A6" t="s">
        <v>256</v>
      </c>
      <c r="B6" t="s">
        <v>257</v>
      </c>
      <c r="C6">
        <v>2</v>
      </c>
      <c r="E6">
        <v>879.81600000000003</v>
      </c>
      <c r="H6">
        <v>1.1510499999999999</v>
      </c>
      <c r="I6" t="s">
        <v>258</v>
      </c>
    </row>
    <row r="7" spans="1:10">
      <c r="A7" t="s">
        <v>256</v>
      </c>
      <c r="B7" t="s">
        <v>257</v>
      </c>
      <c r="C7">
        <v>1</v>
      </c>
      <c r="E7">
        <v>1713.087</v>
      </c>
      <c r="H7">
        <v>0.49803999999999998</v>
      </c>
      <c r="I7">
        <v>99</v>
      </c>
    </row>
    <row r="8" spans="1:10">
      <c r="A8" t="s">
        <v>256</v>
      </c>
      <c r="B8" t="s">
        <v>259</v>
      </c>
      <c r="C8">
        <v>2</v>
      </c>
      <c r="E8">
        <v>3409.9369999999999</v>
      </c>
      <c r="H8">
        <v>1.0129699999999999</v>
      </c>
      <c r="I8" t="s">
        <v>260</v>
      </c>
    </row>
    <row r="9" spans="1:10">
      <c r="A9" t="s">
        <v>261</v>
      </c>
      <c r="B9" t="s">
        <v>259</v>
      </c>
      <c r="C9">
        <v>2</v>
      </c>
      <c r="E9">
        <v>13521.347</v>
      </c>
      <c r="H9">
        <v>1.143</v>
      </c>
      <c r="I9" t="s">
        <v>262</v>
      </c>
    </row>
    <row r="10" spans="1:10">
      <c r="A10" t="s">
        <v>263</v>
      </c>
      <c r="B10" t="s">
        <v>264</v>
      </c>
      <c r="C10">
        <v>0</v>
      </c>
      <c r="E10">
        <v>14728.84</v>
      </c>
      <c r="I10">
        <v>94</v>
      </c>
    </row>
    <row r="11" spans="1:10">
      <c r="A11" t="s">
        <v>265</v>
      </c>
      <c r="B11" t="s">
        <v>266</v>
      </c>
      <c r="C11">
        <v>2</v>
      </c>
      <c r="E11">
        <v>15609.843999999999</v>
      </c>
      <c r="H11">
        <v>1.3560000000000001</v>
      </c>
      <c r="I11" t="s">
        <v>267</v>
      </c>
    </row>
    <row r="12" spans="1:10">
      <c r="A12" t="s">
        <v>265</v>
      </c>
      <c r="B12" t="s">
        <v>266</v>
      </c>
      <c r="C12">
        <v>1</v>
      </c>
      <c r="E12">
        <v>15734.001</v>
      </c>
      <c r="H12">
        <v>1.4970000000000001</v>
      </c>
      <c r="I12">
        <v>97</v>
      </c>
    </row>
    <row r="13" spans="1:10">
      <c r="A13" t="s">
        <v>265</v>
      </c>
      <c r="B13" t="s">
        <v>266</v>
      </c>
      <c r="C13">
        <v>0</v>
      </c>
      <c r="E13">
        <v>16017.306</v>
      </c>
      <c r="I13">
        <v>96</v>
      </c>
    </row>
    <row r="14" spans="1:10">
      <c r="A14" t="s">
        <v>268</v>
      </c>
      <c r="B14" t="s">
        <v>269</v>
      </c>
      <c r="C14">
        <v>4</v>
      </c>
      <c r="E14">
        <v>22102.325000000001</v>
      </c>
      <c r="H14">
        <v>0.99</v>
      </c>
      <c r="I14">
        <v>97</v>
      </c>
    </row>
    <row r="15" spans="1:10">
      <c r="A15" t="s">
        <v>270</v>
      </c>
      <c r="B15" t="s">
        <v>271</v>
      </c>
      <c r="C15">
        <v>4</v>
      </c>
      <c r="E15">
        <v>25753.553</v>
      </c>
      <c r="H15">
        <v>1.51</v>
      </c>
      <c r="I15">
        <v>95</v>
      </c>
    </row>
    <row r="16" spans="1:10">
      <c r="A16" t="s">
        <v>270</v>
      </c>
      <c r="B16" t="s">
        <v>271</v>
      </c>
      <c r="C16">
        <v>3</v>
      </c>
      <c r="E16">
        <v>26665.886999999999</v>
      </c>
      <c r="H16">
        <v>1.4950000000000001</v>
      </c>
      <c r="I16">
        <v>93</v>
      </c>
    </row>
    <row r="17" spans="1:9">
      <c r="A17" t="s">
        <v>270</v>
      </c>
      <c r="B17" t="s">
        <v>271</v>
      </c>
      <c r="C17">
        <v>2</v>
      </c>
      <c r="E17">
        <v>27414.867999999999</v>
      </c>
      <c r="H17">
        <v>1.494</v>
      </c>
      <c r="I17">
        <v>93</v>
      </c>
    </row>
    <row r="18" spans="1:9">
      <c r="A18" t="s">
        <v>270</v>
      </c>
      <c r="B18" t="s">
        <v>271</v>
      </c>
      <c r="C18">
        <v>1</v>
      </c>
      <c r="E18">
        <v>27943.524000000001</v>
      </c>
      <c r="H18">
        <v>1.486</v>
      </c>
      <c r="I18">
        <v>95</v>
      </c>
    </row>
    <row r="19" spans="1:9">
      <c r="A19" t="s">
        <v>270</v>
      </c>
      <c r="B19" t="s">
        <v>271</v>
      </c>
      <c r="C19">
        <v>0</v>
      </c>
      <c r="E19">
        <v>28212.998</v>
      </c>
      <c r="I19">
        <v>96</v>
      </c>
    </row>
    <row r="20" spans="1:9">
      <c r="A20" t="s">
        <v>270</v>
      </c>
      <c r="B20" t="s">
        <v>272</v>
      </c>
      <c r="C20">
        <v>6</v>
      </c>
      <c r="E20">
        <v>27260.894</v>
      </c>
      <c r="H20">
        <v>1.32</v>
      </c>
      <c r="I20">
        <v>98</v>
      </c>
    </row>
    <row r="21" spans="1:9">
      <c r="A21" t="s">
        <v>270</v>
      </c>
      <c r="B21" t="s">
        <v>272</v>
      </c>
      <c r="C21">
        <v>5</v>
      </c>
      <c r="E21">
        <v>27580.391</v>
      </c>
      <c r="H21">
        <v>1.276</v>
      </c>
      <c r="I21" t="s">
        <v>273</v>
      </c>
    </row>
    <row r="22" spans="1:9">
      <c r="A22" t="s">
        <v>270</v>
      </c>
      <c r="B22" t="s">
        <v>272</v>
      </c>
      <c r="C22">
        <v>4</v>
      </c>
      <c r="E22">
        <v>28068.064999999999</v>
      </c>
      <c r="H22">
        <v>1.171</v>
      </c>
      <c r="I22" t="s">
        <v>274</v>
      </c>
    </row>
    <row r="23" spans="1:9">
      <c r="A23" t="s">
        <v>270</v>
      </c>
      <c r="B23" t="s">
        <v>272</v>
      </c>
      <c r="C23">
        <v>3</v>
      </c>
      <c r="E23">
        <v>28578.018</v>
      </c>
      <c r="H23">
        <v>0.94499999999999995</v>
      </c>
      <c r="I23" t="s">
        <v>275</v>
      </c>
    </row>
    <row r="24" spans="1:9">
      <c r="A24" t="s">
        <v>270</v>
      </c>
      <c r="B24" t="s">
        <v>272</v>
      </c>
      <c r="C24">
        <v>2</v>
      </c>
      <c r="E24">
        <v>29013.205999999998</v>
      </c>
      <c r="H24">
        <v>0.36399999999999999</v>
      </c>
      <c r="I24">
        <v>95</v>
      </c>
    </row>
    <row r="25" spans="1:9">
      <c r="A25" t="s">
        <v>270</v>
      </c>
      <c r="B25" t="s">
        <v>276</v>
      </c>
      <c r="C25">
        <v>5</v>
      </c>
      <c r="E25">
        <v>28542.105</v>
      </c>
      <c r="H25">
        <v>1.377</v>
      </c>
      <c r="I25" t="s">
        <v>277</v>
      </c>
    </row>
    <row r="26" spans="1:9">
      <c r="A26" t="s">
        <v>270</v>
      </c>
      <c r="B26" t="s">
        <v>276</v>
      </c>
      <c r="C26">
        <v>4</v>
      </c>
      <c r="E26">
        <v>29084.455999999998</v>
      </c>
      <c r="H26">
        <v>1.288</v>
      </c>
      <c r="I26" t="s">
        <v>278</v>
      </c>
    </row>
    <row r="27" spans="1:9">
      <c r="A27" t="s">
        <v>270</v>
      </c>
      <c r="B27" t="s">
        <v>276</v>
      </c>
      <c r="C27">
        <v>3</v>
      </c>
      <c r="E27">
        <v>29832.778999999999</v>
      </c>
      <c r="H27">
        <v>1.208</v>
      </c>
      <c r="I27" t="s">
        <v>279</v>
      </c>
    </row>
    <row r="28" spans="1:9">
      <c r="A28" t="s">
        <v>270</v>
      </c>
      <c r="B28" t="s">
        <v>276</v>
      </c>
      <c r="C28">
        <v>2</v>
      </c>
      <c r="E28">
        <v>30163.124</v>
      </c>
      <c r="H28">
        <v>0.98499999999999999</v>
      </c>
      <c r="I28" t="s">
        <v>280</v>
      </c>
    </row>
    <row r="29" spans="1:9">
      <c r="A29" t="s">
        <v>270</v>
      </c>
      <c r="B29" t="s">
        <v>276</v>
      </c>
      <c r="C29">
        <v>1</v>
      </c>
      <c r="E29">
        <v>30392.003000000001</v>
      </c>
      <c r="H29">
        <v>6.0000000000000001E-3</v>
      </c>
      <c r="I29">
        <v>98</v>
      </c>
    </row>
    <row r="30" spans="1:9">
      <c r="A30" t="s">
        <v>281</v>
      </c>
      <c r="B30" t="s">
        <v>282</v>
      </c>
      <c r="C30">
        <v>2</v>
      </c>
      <c r="E30">
        <v>28569.203000000001</v>
      </c>
      <c r="H30">
        <v>1.4850000000000001</v>
      </c>
      <c r="I30">
        <v>93</v>
      </c>
    </row>
    <row r="31" spans="1:9">
      <c r="A31" t="s">
        <v>281</v>
      </c>
      <c r="B31" t="s">
        <v>282</v>
      </c>
      <c r="C31">
        <v>1</v>
      </c>
      <c r="E31">
        <v>29500.673999999999</v>
      </c>
      <c r="H31">
        <v>1.4259999999999999</v>
      </c>
      <c r="I31">
        <v>90</v>
      </c>
    </row>
    <row r="32" spans="1:9">
      <c r="A32" t="s">
        <v>281</v>
      </c>
      <c r="B32" t="s">
        <v>282</v>
      </c>
      <c r="C32">
        <v>0</v>
      </c>
      <c r="E32">
        <v>30192.251</v>
      </c>
      <c r="I32">
        <v>97</v>
      </c>
    </row>
    <row r="33" spans="1:9">
      <c r="A33" t="s">
        <v>281</v>
      </c>
      <c r="B33" t="s">
        <v>283</v>
      </c>
      <c r="C33">
        <v>3</v>
      </c>
      <c r="E33">
        <v>29320.761999999999</v>
      </c>
      <c r="H33">
        <v>1.2869999999999999</v>
      </c>
      <c r="I33" t="s">
        <v>284</v>
      </c>
    </row>
    <row r="34" spans="1:9">
      <c r="A34" t="s">
        <v>281</v>
      </c>
      <c r="B34" t="s">
        <v>283</v>
      </c>
      <c r="C34">
        <v>4</v>
      </c>
      <c r="E34">
        <v>29480.989000000001</v>
      </c>
      <c r="H34">
        <v>1.0860000000000001</v>
      </c>
      <c r="I34" t="s">
        <v>285</v>
      </c>
    </row>
    <row r="35" spans="1:9">
      <c r="A35" t="s">
        <v>281</v>
      </c>
      <c r="B35" t="s">
        <v>283</v>
      </c>
      <c r="C35">
        <v>2</v>
      </c>
      <c r="E35">
        <v>30619.414000000001</v>
      </c>
      <c r="H35">
        <v>0.74</v>
      </c>
      <c r="I35" t="s">
        <v>286</v>
      </c>
    </row>
    <row r="36" spans="1:9">
      <c r="A36" t="s">
        <v>281</v>
      </c>
      <c r="B36" t="s">
        <v>287</v>
      </c>
      <c r="C36">
        <v>3</v>
      </c>
      <c r="E36">
        <v>29668.893</v>
      </c>
      <c r="H36">
        <v>1.044</v>
      </c>
      <c r="I36" t="s">
        <v>288</v>
      </c>
    </row>
    <row r="37" spans="1:9">
      <c r="A37" t="s">
        <v>281</v>
      </c>
      <c r="B37" t="s">
        <v>287</v>
      </c>
      <c r="C37">
        <v>2</v>
      </c>
      <c r="E37">
        <v>29888.476999999999</v>
      </c>
      <c r="H37">
        <v>0.55200000000000005</v>
      </c>
      <c r="I37" t="s">
        <v>289</v>
      </c>
    </row>
    <row r="38" spans="1:9">
      <c r="A38" t="s">
        <v>281</v>
      </c>
      <c r="B38" t="s">
        <v>287</v>
      </c>
      <c r="C38">
        <v>1</v>
      </c>
      <c r="E38">
        <v>30912.816999999999</v>
      </c>
      <c r="I38" t="s">
        <v>290</v>
      </c>
    </row>
    <row r="39" spans="1:9">
      <c r="A39" t="s">
        <v>281</v>
      </c>
      <c r="B39" t="s">
        <v>291</v>
      </c>
      <c r="C39">
        <v>3</v>
      </c>
      <c r="E39">
        <v>29668.918000000001</v>
      </c>
      <c r="H39">
        <v>1.3</v>
      </c>
      <c r="I39" t="s">
        <v>292</v>
      </c>
    </row>
    <row r="40" spans="1:9">
      <c r="A40" t="s">
        <v>270</v>
      </c>
      <c r="B40" t="s">
        <v>293</v>
      </c>
      <c r="C40">
        <v>5</v>
      </c>
      <c r="E40">
        <v>30922.734</v>
      </c>
      <c r="H40">
        <v>1.214</v>
      </c>
      <c r="I40" t="s">
        <v>294</v>
      </c>
    </row>
    <row r="41" spans="1:9">
      <c r="A41" t="s">
        <v>270</v>
      </c>
      <c r="B41" t="s">
        <v>293</v>
      </c>
      <c r="C41">
        <v>4</v>
      </c>
      <c r="E41">
        <v>30979.749</v>
      </c>
      <c r="H41">
        <v>1.052</v>
      </c>
      <c r="I41" t="s">
        <v>295</v>
      </c>
    </row>
    <row r="42" spans="1:9">
      <c r="A42" t="s">
        <v>270</v>
      </c>
      <c r="B42" t="s">
        <v>293</v>
      </c>
      <c r="C42">
        <v>3</v>
      </c>
      <c r="E42">
        <v>31786.162</v>
      </c>
      <c r="H42">
        <v>0.76100000000000001</v>
      </c>
      <c r="I42">
        <v>93</v>
      </c>
    </row>
    <row r="43" spans="1:9">
      <c r="A43" t="s">
        <v>281</v>
      </c>
      <c r="B43" t="s">
        <v>296</v>
      </c>
      <c r="C43">
        <v>3</v>
      </c>
      <c r="E43">
        <v>31031.02</v>
      </c>
      <c r="H43">
        <v>1.048</v>
      </c>
      <c r="I43" t="s">
        <v>297</v>
      </c>
    </row>
    <row r="44" spans="1:9">
      <c r="A44" t="s">
        <v>281</v>
      </c>
      <c r="B44" t="s">
        <v>298</v>
      </c>
      <c r="C44">
        <v>2</v>
      </c>
      <c r="E44">
        <v>31441.634999999998</v>
      </c>
      <c r="H44">
        <v>1.06</v>
      </c>
      <c r="I44" t="s">
        <v>299</v>
      </c>
    </row>
    <row r="45" spans="1:9">
      <c r="A45" t="s">
        <v>270</v>
      </c>
      <c r="B45" t="s">
        <v>283</v>
      </c>
      <c r="C45">
        <v>4</v>
      </c>
      <c r="E45">
        <v>32973.375999999997</v>
      </c>
      <c r="H45">
        <v>1.222</v>
      </c>
      <c r="I45" t="s">
        <v>300</v>
      </c>
    </row>
    <row r="46" spans="1:9">
      <c r="A46" t="s">
        <v>270</v>
      </c>
      <c r="B46" t="s">
        <v>283</v>
      </c>
      <c r="C46">
        <v>3</v>
      </c>
      <c r="E46">
        <v>33112.334000000003</v>
      </c>
      <c r="H46">
        <v>1.1930000000000001</v>
      </c>
      <c r="I46" t="s">
        <v>301</v>
      </c>
    </row>
    <row r="47" spans="1:9">
      <c r="A47" t="s">
        <v>270</v>
      </c>
      <c r="B47" t="s">
        <v>283</v>
      </c>
      <c r="C47">
        <v>2</v>
      </c>
      <c r="E47">
        <v>34163.264000000003</v>
      </c>
      <c r="H47">
        <v>0.97299999999999998</v>
      </c>
      <c r="I47" t="s">
        <v>302</v>
      </c>
    </row>
    <row r="48" spans="1:9">
      <c r="A48" t="s">
        <v>281</v>
      </c>
      <c r="B48" t="s">
        <v>303</v>
      </c>
      <c r="C48">
        <v>1</v>
      </c>
      <c r="E48">
        <v>32982.26</v>
      </c>
      <c r="H48">
        <v>1.0049999999999999</v>
      </c>
      <c r="I48">
        <v>94</v>
      </c>
    </row>
    <row r="49" spans="1:9">
      <c r="A49" t="s">
        <v>270</v>
      </c>
      <c r="B49" t="s">
        <v>287</v>
      </c>
      <c r="C49">
        <v>3</v>
      </c>
      <c r="E49">
        <v>33500.822</v>
      </c>
      <c r="H49">
        <v>1.198</v>
      </c>
      <c r="I49" t="s">
        <v>304</v>
      </c>
    </row>
    <row r="50" spans="1:9">
      <c r="A50" t="s">
        <v>270</v>
      </c>
      <c r="B50" t="s">
        <v>287</v>
      </c>
      <c r="C50">
        <v>2</v>
      </c>
      <c r="E50">
        <v>33610.89</v>
      </c>
      <c r="H50">
        <v>1.19</v>
      </c>
      <c r="I50" t="s">
        <v>305</v>
      </c>
    </row>
    <row r="51" spans="1:9">
      <c r="A51" t="s">
        <v>270</v>
      </c>
      <c r="B51" t="s">
        <v>287</v>
      </c>
      <c r="C51">
        <v>1</v>
      </c>
      <c r="E51">
        <v>34408.555</v>
      </c>
      <c r="H51">
        <v>0.51100000000000001</v>
      </c>
      <c r="I51" t="s">
        <v>306</v>
      </c>
    </row>
    <row r="52" spans="1:9">
      <c r="A52" t="s">
        <v>270</v>
      </c>
      <c r="B52" t="s">
        <v>307</v>
      </c>
      <c r="C52">
        <v>4</v>
      </c>
      <c r="E52">
        <v>33590.129999999997</v>
      </c>
      <c r="I52" t="s">
        <v>308</v>
      </c>
    </row>
    <row r="53" spans="1:9">
      <c r="A53" t="s">
        <v>270</v>
      </c>
      <c r="B53" t="s">
        <v>296</v>
      </c>
      <c r="C53">
        <v>3</v>
      </c>
      <c r="E53">
        <v>35639.122000000003</v>
      </c>
      <c r="H53">
        <v>1.0129999999999999</v>
      </c>
      <c r="I53" t="s">
        <v>309</v>
      </c>
    </row>
    <row r="54" spans="1:9">
      <c r="A54" t="s">
        <v>270</v>
      </c>
      <c r="B54" t="s">
        <v>298</v>
      </c>
      <c r="C54">
        <v>2</v>
      </c>
      <c r="E54">
        <v>36600.790999999997</v>
      </c>
      <c r="H54">
        <v>1.0129999999999999</v>
      </c>
      <c r="I54" t="s">
        <v>310</v>
      </c>
    </row>
    <row r="55" spans="1:9">
      <c r="A55" t="s">
        <v>311</v>
      </c>
      <c r="B55" t="s">
        <v>312</v>
      </c>
      <c r="C55">
        <v>3</v>
      </c>
      <c r="E55">
        <v>40361.249000000003</v>
      </c>
      <c r="I55" t="s">
        <v>313</v>
      </c>
    </row>
    <row r="56" spans="1:9">
      <c r="A56" t="s">
        <v>311</v>
      </c>
      <c r="B56" t="s">
        <v>312</v>
      </c>
      <c r="C56">
        <v>2</v>
      </c>
      <c r="E56">
        <v>40484.212</v>
      </c>
      <c r="I56">
        <v>89</v>
      </c>
    </row>
    <row r="57" spans="1:9">
      <c r="A57" t="s">
        <v>311</v>
      </c>
      <c r="B57" t="s">
        <v>312</v>
      </c>
      <c r="C57">
        <v>1</v>
      </c>
      <c r="E57">
        <v>40768.995999999999</v>
      </c>
      <c r="I57">
        <v>94</v>
      </c>
    </row>
    <row r="58" spans="1:9">
      <c r="A58" t="s">
        <v>314</v>
      </c>
      <c r="B58" t="s">
        <v>283</v>
      </c>
      <c r="C58">
        <v>4</v>
      </c>
      <c r="E58">
        <v>42585.212</v>
      </c>
      <c r="H58">
        <v>1.3460000000000001</v>
      </c>
      <c r="I58" t="s">
        <v>315</v>
      </c>
    </row>
    <row r="59" spans="1:9">
      <c r="A59" t="s">
        <v>314</v>
      </c>
      <c r="B59" t="s">
        <v>283</v>
      </c>
      <c r="C59">
        <v>3</v>
      </c>
      <c r="E59">
        <v>42767.853000000003</v>
      </c>
      <c r="H59">
        <v>1.218</v>
      </c>
      <c r="I59" t="s">
        <v>316</v>
      </c>
    </row>
    <row r="60" spans="1:9">
      <c r="A60" t="s">
        <v>314</v>
      </c>
      <c r="B60" t="s">
        <v>283</v>
      </c>
      <c r="C60">
        <v>2</v>
      </c>
      <c r="E60">
        <v>42954.203000000001</v>
      </c>
      <c r="H60">
        <v>0.84</v>
      </c>
      <c r="I60" t="s">
        <v>317</v>
      </c>
    </row>
    <row r="61" spans="1:9">
      <c r="A61" t="s">
        <v>318</v>
      </c>
      <c r="B61" t="s">
        <v>319</v>
      </c>
      <c r="C61">
        <v>3</v>
      </c>
      <c r="E61">
        <v>42605.945</v>
      </c>
      <c r="H61">
        <v>1.34</v>
      </c>
      <c r="I61">
        <v>100</v>
      </c>
    </row>
    <row r="62" spans="1:9">
      <c r="A62" t="s">
        <v>318</v>
      </c>
      <c r="B62" t="s">
        <v>319</v>
      </c>
      <c r="C62">
        <v>2</v>
      </c>
      <c r="E62">
        <v>42790.01</v>
      </c>
      <c r="H62">
        <v>1.085</v>
      </c>
      <c r="I62">
        <v>99</v>
      </c>
    </row>
    <row r="63" spans="1:9">
      <c r="A63" t="s">
        <v>314</v>
      </c>
      <c r="B63" t="s">
        <v>287</v>
      </c>
      <c r="C63">
        <v>3</v>
      </c>
      <c r="E63">
        <v>42620.993999999999</v>
      </c>
      <c r="I63" t="s">
        <v>320</v>
      </c>
    </row>
    <row r="64" spans="1:9">
      <c r="A64" t="s">
        <v>314</v>
      </c>
      <c r="B64" t="s">
        <v>287</v>
      </c>
      <c r="C64">
        <v>2</v>
      </c>
      <c r="E64">
        <v>42653.661</v>
      </c>
      <c r="I64" t="s">
        <v>321</v>
      </c>
    </row>
    <row r="65" spans="1:9">
      <c r="A65" t="s">
        <v>314</v>
      </c>
      <c r="B65" t="s">
        <v>287</v>
      </c>
      <c r="C65">
        <v>1</v>
      </c>
      <c r="E65">
        <v>42656.288999999997</v>
      </c>
      <c r="H65">
        <v>1.32</v>
      </c>
      <c r="I65">
        <v>76</v>
      </c>
    </row>
    <row r="66" spans="1:9">
      <c r="A66" t="s">
        <v>322</v>
      </c>
      <c r="B66" t="s">
        <v>293</v>
      </c>
      <c r="C66">
        <v>5</v>
      </c>
      <c r="E66">
        <v>43089.578000000001</v>
      </c>
      <c r="H66">
        <v>1.226</v>
      </c>
      <c r="I66">
        <v>96</v>
      </c>
    </row>
    <row r="67" spans="1:9">
      <c r="A67" t="s">
        <v>322</v>
      </c>
      <c r="B67" t="s">
        <v>293</v>
      </c>
      <c r="C67">
        <v>4</v>
      </c>
      <c r="E67">
        <v>44314.904000000002</v>
      </c>
      <c r="H67">
        <v>1.1819999999999999</v>
      </c>
      <c r="I67" t="s">
        <v>323</v>
      </c>
    </row>
    <row r="68" spans="1:9">
      <c r="A68" t="s">
        <v>322</v>
      </c>
      <c r="B68" t="s">
        <v>293</v>
      </c>
      <c r="C68">
        <v>3</v>
      </c>
      <c r="E68">
        <v>44565.036999999997</v>
      </c>
      <c r="H68">
        <v>1.044</v>
      </c>
      <c r="I68" t="s">
        <v>324</v>
      </c>
    </row>
    <row r="69" spans="1:9">
      <c r="A69" t="s">
        <v>322</v>
      </c>
      <c r="B69" t="s">
        <v>283</v>
      </c>
      <c r="C69">
        <v>4</v>
      </c>
      <c r="E69">
        <v>43258.726000000002</v>
      </c>
      <c r="H69">
        <v>1.2470000000000001</v>
      </c>
      <c r="I69" t="s">
        <v>325</v>
      </c>
    </row>
    <row r="70" spans="1:9">
      <c r="A70" t="s">
        <v>322</v>
      </c>
      <c r="B70" t="s">
        <v>283</v>
      </c>
      <c r="C70">
        <v>3</v>
      </c>
      <c r="E70">
        <v>45281.089</v>
      </c>
      <c r="H70">
        <v>0.77900000000000003</v>
      </c>
      <c r="I70" t="s">
        <v>326</v>
      </c>
    </row>
    <row r="71" spans="1:9">
      <c r="A71" t="s">
        <v>322</v>
      </c>
      <c r="B71" t="s">
        <v>283</v>
      </c>
      <c r="C71">
        <v>2</v>
      </c>
      <c r="E71">
        <v>45418.803999999996</v>
      </c>
      <c r="H71">
        <v>0.67700000000000005</v>
      </c>
      <c r="I71">
        <v>82</v>
      </c>
    </row>
    <row r="72" spans="1:9">
      <c r="A72" t="s">
        <v>314</v>
      </c>
      <c r="B72" t="s">
        <v>282</v>
      </c>
      <c r="C72">
        <v>1</v>
      </c>
      <c r="E72">
        <v>43463.981</v>
      </c>
      <c r="H72">
        <v>1.39</v>
      </c>
      <c r="I72" t="s">
        <v>327</v>
      </c>
    </row>
    <row r="73" spans="1:9">
      <c r="A73" t="s">
        <v>314</v>
      </c>
      <c r="B73" t="s">
        <v>282</v>
      </c>
      <c r="C73">
        <v>2</v>
      </c>
      <c r="E73">
        <v>43933.408000000003</v>
      </c>
      <c r="H73">
        <v>1.476</v>
      </c>
      <c r="I73" t="s">
        <v>328</v>
      </c>
    </row>
    <row r="74" spans="1:9">
      <c r="A74" t="s">
        <v>322</v>
      </c>
      <c r="B74" t="s">
        <v>287</v>
      </c>
      <c r="C74">
        <v>3</v>
      </c>
      <c r="E74">
        <v>43654.902999999998</v>
      </c>
      <c r="H74">
        <v>1.155</v>
      </c>
      <c r="I74" t="s">
        <v>329</v>
      </c>
    </row>
    <row r="75" spans="1:9">
      <c r="A75" t="s">
        <v>322</v>
      </c>
      <c r="B75" t="s">
        <v>287</v>
      </c>
      <c r="C75">
        <v>2</v>
      </c>
      <c r="E75">
        <v>44475.099000000002</v>
      </c>
      <c r="H75">
        <v>0.56599999999999995</v>
      </c>
      <c r="I75" t="s">
        <v>330</v>
      </c>
    </row>
    <row r="76" spans="1:9">
      <c r="A76" t="s">
        <v>322</v>
      </c>
      <c r="B76" t="s">
        <v>287</v>
      </c>
      <c r="C76">
        <v>1</v>
      </c>
      <c r="E76">
        <v>45122.383000000002</v>
      </c>
      <c r="I76" t="s">
        <v>331</v>
      </c>
    </row>
    <row r="77" spans="1:9">
      <c r="A77" t="s">
        <v>322</v>
      </c>
      <c r="B77" t="s">
        <v>291</v>
      </c>
      <c r="C77">
        <v>3</v>
      </c>
      <c r="E77">
        <v>43654.974000000002</v>
      </c>
      <c r="H77">
        <v>1.2430000000000001</v>
      </c>
      <c r="I77" t="s">
        <v>332</v>
      </c>
    </row>
    <row r="78" spans="1:9">
      <c r="A78" t="s">
        <v>311</v>
      </c>
      <c r="B78" t="s">
        <v>271</v>
      </c>
      <c r="C78">
        <v>2</v>
      </c>
      <c r="E78">
        <v>44093.773000000001</v>
      </c>
      <c r="I78" t="s">
        <v>333</v>
      </c>
    </row>
    <row r="79" spans="1:9">
      <c r="A79" t="s">
        <v>311</v>
      </c>
      <c r="B79" t="s">
        <v>271</v>
      </c>
      <c r="C79">
        <v>1</v>
      </c>
      <c r="E79">
        <v>44132.25</v>
      </c>
      <c r="I79">
        <v>88</v>
      </c>
    </row>
    <row r="80" spans="1:9">
      <c r="A80" t="s">
        <v>311</v>
      </c>
      <c r="B80" t="s">
        <v>271</v>
      </c>
      <c r="C80">
        <v>3</v>
      </c>
      <c r="E80">
        <v>44206.099000000002</v>
      </c>
      <c r="I80" t="s">
        <v>334</v>
      </c>
    </row>
    <row r="81" spans="1:9">
      <c r="A81" t="s">
        <v>311</v>
      </c>
      <c r="B81" t="s">
        <v>271</v>
      </c>
      <c r="C81">
        <v>0</v>
      </c>
      <c r="E81">
        <v>44414.955000000002</v>
      </c>
      <c r="I81">
        <v>90</v>
      </c>
    </row>
    <row r="82" spans="1:9">
      <c r="A82" t="s">
        <v>311</v>
      </c>
      <c r="B82" t="s">
        <v>271</v>
      </c>
      <c r="C82">
        <v>4</v>
      </c>
      <c r="E82">
        <v>44540.525000000001</v>
      </c>
      <c r="I82" t="s">
        <v>335</v>
      </c>
    </row>
    <row r="83" spans="1:9">
      <c r="A83" t="s">
        <v>336</v>
      </c>
      <c r="B83" t="s">
        <v>337</v>
      </c>
      <c r="C83">
        <v>1</v>
      </c>
      <c r="E83">
        <v>44112.173000000003</v>
      </c>
      <c r="H83">
        <v>1.0900000000000001</v>
      </c>
      <c r="I83">
        <v>100</v>
      </c>
    </row>
    <row r="84" spans="1:9">
      <c r="A84" t="s">
        <v>336</v>
      </c>
      <c r="B84" t="s">
        <v>337</v>
      </c>
      <c r="C84">
        <v>2</v>
      </c>
      <c r="E84">
        <v>44262.599000000002</v>
      </c>
      <c r="I84">
        <v>99</v>
      </c>
    </row>
    <row r="85" spans="1:9">
      <c r="A85" t="s">
        <v>311</v>
      </c>
      <c r="B85" t="s">
        <v>291</v>
      </c>
      <c r="C85">
        <v>4</v>
      </c>
      <c r="E85">
        <v>44336.1</v>
      </c>
      <c r="I85" t="s">
        <v>338</v>
      </c>
    </row>
    <row r="86" spans="1:9">
      <c r="A86" t="s">
        <v>311</v>
      </c>
      <c r="B86" t="s">
        <v>282</v>
      </c>
      <c r="C86">
        <v>2</v>
      </c>
      <c r="E86">
        <v>46522.866000000002</v>
      </c>
      <c r="I86" t="s">
        <v>339</v>
      </c>
    </row>
    <row r="87" spans="1:9">
      <c r="A87" t="s">
        <v>311</v>
      </c>
      <c r="B87" t="s">
        <v>282</v>
      </c>
      <c r="C87">
        <v>1</v>
      </c>
      <c r="E87">
        <v>47208.148999999998</v>
      </c>
      <c r="I87" t="s">
        <v>340</v>
      </c>
    </row>
    <row r="88" spans="1:9">
      <c r="A88" t="s">
        <v>311</v>
      </c>
      <c r="B88" t="s">
        <v>282</v>
      </c>
      <c r="C88">
        <v>0</v>
      </c>
      <c r="E88">
        <v>47686.587</v>
      </c>
      <c r="I88" t="s">
        <v>341</v>
      </c>
    </row>
    <row r="89" spans="1:9">
      <c r="A89" t="s">
        <v>311</v>
      </c>
      <c r="B89" t="s">
        <v>287</v>
      </c>
      <c r="C89">
        <v>3</v>
      </c>
      <c r="E89">
        <v>47030.101999999999</v>
      </c>
      <c r="H89">
        <v>1.331</v>
      </c>
      <c r="I89">
        <v>92</v>
      </c>
    </row>
    <row r="90" spans="1:9">
      <c r="A90" t="s">
        <v>311</v>
      </c>
      <c r="B90" t="s">
        <v>287</v>
      </c>
      <c r="C90">
        <v>2</v>
      </c>
      <c r="E90">
        <v>47139.337</v>
      </c>
      <c r="H90">
        <v>1.2090000000000001</v>
      </c>
      <c r="I90" t="s">
        <v>342</v>
      </c>
    </row>
    <row r="91" spans="1:9">
      <c r="A91" t="s">
        <v>311</v>
      </c>
      <c r="B91" t="s">
        <v>287</v>
      </c>
      <c r="C91">
        <v>1</v>
      </c>
      <c r="E91">
        <v>47424.785000000003</v>
      </c>
      <c r="H91">
        <v>0.72599999999999998</v>
      </c>
      <c r="I91">
        <v>79</v>
      </c>
    </row>
    <row r="92" spans="1:9">
      <c r="A92" t="s">
        <v>311</v>
      </c>
      <c r="B92" t="s">
        <v>343</v>
      </c>
      <c r="C92">
        <v>2</v>
      </c>
      <c r="E92">
        <v>47328.784</v>
      </c>
      <c r="I92" t="s">
        <v>344</v>
      </c>
    </row>
    <row r="93" spans="1:9">
      <c r="A93" t="s">
        <v>345</v>
      </c>
      <c r="B93" t="s">
        <v>346</v>
      </c>
      <c r="C93">
        <v>5</v>
      </c>
      <c r="E93">
        <v>48466.49</v>
      </c>
      <c r="H93">
        <v>1.4</v>
      </c>
      <c r="I93">
        <v>100</v>
      </c>
    </row>
    <row r="94" spans="1:9">
      <c r="A94" t="s">
        <v>345</v>
      </c>
      <c r="B94" t="s">
        <v>346</v>
      </c>
      <c r="C94">
        <v>4</v>
      </c>
      <c r="E94">
        <v>49085.982000000004</v>
      </c>
      <c r="H94">
        <v>1.33</v>
      </c>
      <c r="I94" t="s">
        <v>347</v>
      </c>
    </row>
    <row r="95" spans="1:9">
      <c r="A95" t="s">
        <v>345</v>
      </c>
      <c r="B95" t="s">
        <v>346</v>
      </c>
      <c r="C95">
        <v>3</v>
      </c>
      <c r="E95">
        <v>49777.569000000003</v>
      </c>
      <c r="H95">
        <v>1.23</v>
      </c>
      <c r="I95" t="s">
        <v>348</v>
      </c>
    </row>
    <row r="96" spans="1:9">
      <c r="A96" t="s">
        <v>345</v>
      </c>
      <c r="B96" t="s">
        <v>346</v>
      </c>
      <c r="C96">
        <v>2</v>
      </c>
      <c r="E96">
        <v>50346.427000000003</v>
      </c>
      <c r="H96">
        <v>0.95</v>
      </c>
      <c r="I96">
        <v>94</v>
      </c>
    </row>
    <row r="97" spans="1:9">
      <c r="A97" t="s">
        <v>345</v>
      </c>
      <c r="B97" t="s">
        <v>346</v>
      </c>
      <c r="C97">
        <v>1</v>
      </c>
      <c r="E97">
        <v>50744.552000000003</v>
      </c>
      <c r="H97">
        <v>0.2</v>
      </c>
      <c r="I97">
        <v>93</v>
      </c>
    </row>
    <row r="98" spans="1:9">
      <c r="A98" t="s">
        <v>349</v>
      </c>
      <c r="B98" t="s">
        <v>296</v>
      </c>
      <c r="C98">
        <v>3</v>
      </c>
      <c r="E98">
        <v>48672.048999999999</v>
      </c>
      <c r="I98" t="s">
        <v>350</v>
      </c>
    </row>
    <row r="99" spans="1:9">
      <c r="A99" t="s">
        <v>349</v>
      </c>
      <c r="B99" t="s">
        <v>283</v>
      </c>
      <c r="C99">
        <v>4</v>
      </c>
      <c r="E99">
        <v>48715.586000000003</v>
      </c>
      <c r="I99">
        <v>94</v>
      </c>
    </row>
    <row r="100" spans="1:9">
      <c r="A100" t="s">
        <v>349</v>
      </c>
      <c r="B100" t="s">
        <v>283</v>
      </c>
      <c r="C100">
        <v>2</v>
      </c>
      <c r="E100">
        <v>50039.190999999999</v>
      </c>
      <c r="I100" t="s">
        <v>351</v>
      </c>
    </row>
    <row r="101" spans="1:9">
      <c r="A101" t="s">
        <v>349</v>
      </c>
      <c r="B101" t="s">
        <v>283</v>
      </c>
      <c r="C101">
        <v>3</v>
      </c>
      <c r="E101">
        <v>50142.991000000002</v>
      </c>
      <c r="I101" t="s">
        <v>352</v>
      </c>
    </row>
    <row r="102" spans="1:9">
      <c r="A102" t="s">
        <v>349</v>
      </c>
      <c r="B102" t="s">
        <v>282</v>
      </c>
      <c r="C102">
        <v>2</v>
      </c>
      <c r="E102">
        <v>48735.29</v>
      </c>
      <c r="I102" t="s">
        <v>353</v>
      </c>
    </row>
    <row r="103" spans="1:9">
      <c r="A103" t="s">
        <v>349</v>
      </c>
      <c r="B103" t="s">
        <v>282</v>
      </c>
      <c r="C103">
        <v>1</v>
      </c>
      <c r="E103">
        <v>49196.180999999997</v>
      </c>
      <c r="I103" t="s">
        <v>354</v>
      </c>
    </row>
    <row r="104" spans="1:9">
      <c r="A104" t="s">
        <v>349</v>
      </c>
      <c r="B104" t="s">
        <v>282</v>
      </c>
      <c r="C104">
        <v>0</v>
      </c>
      <c r="E104">
        <v>50138.457999999999</v>
      </c>
      <c r="I104" t="s">
        <v>355</v>
      </c>
    </row>
    <row r="105" spans="1:9">
      <c r="A105" t="s">
        <v>311</v>
      </c>
      <c r="B105" t="s">
        <v>303</v>
      </c>
      <c r="C105">
        <v>1</v>
      </c>
      <c r="E105">
        <v>48818.097000000002</v>
      </c>
      <c r="I105" t="s">
        <v>356</v>
      </c>
    </row>
    <row r="106" spans="1:9">
      <c r="A106" t="s">
        <v>357</v>
      </c>
      <c r="B106" t="s">
        <v>358</v>
      </c>
      <c r="C106">
        <v>1</v>
      </c>
      <c r="E106">
        <v>48953.315999999999</v>
      </c>
      <c r="H106">
        <v>1.92</v>
      </c>
      <c r="I106">
        <v>99</v>
      </c>
    </row>
    <row r="107" spans="1:9">
      <c r="A107" t="s">
        <v>357</v>
      </c>
      <c r="B107" t="s">
        <v>358</v>
      </c>
      <c r="C107">
        <v>0</v>
      </c>
      <c r="E107">
        <v>49610.345000000001</v>
      </c>
      <c r="I107" t="s">
        <v>359</v>
      </c>
    </row>
    <row r="108" spans="1:9">
      <c r="A108" t="s">
        <v>349</v>
      </c>
      <c r="B108" t="s">
        <v>298</v>
      </c>
      <c r="C108">
        <v>2</v>
      </c>
      <c r="E108">
        <v>49032.925999999999</v>
      </c>
      <c r="I108" t="s">
        <v>360</v>
      </c>
    </row>
    <row r="109" spans="1:9">
      <c r="A109" t="s">
        <v>357</v>
      </c>
      <c r="B109" t="s">
        <v>361</v>
      </c>
      <c r="C109">
        <v>5</v>
      </c>
      <c r="E109">
        <v>49158.48</v>
      </c>
      <c r="H109">
        <v>1.2</v>
      </c>
      <c r="I109">
        <v>100</v>
      </c>
    </row>
    <row r="110" spans="1:9">
      <c r="A110" t="s">
        <v>357</v>
      </c>
      <c r="B110" t="s">
        <v>361</v>
      </c>
      <c r="C110">
        <v>4</v>
      </c>
      <c r="E110">
        <v>49174.77</v>
      </c>
      <c r="H110">
        <v>1.05</v>
      </c>
      <c r="I110">
        <v>99</v>
      </c>
    </row>
    <row r="111" spans="1:9">
      <c r="A111" t="s">
        <v>357</v>
      </c>
      <c r="B111" t="s">
        <v>337</v>
      </c>
      <c r="C111">
        <v>2</v>
      </c>
      <c r="E111">
        <v>49159.03</v>
      </c>
      <c r="H111">
        <v>1.43</v>
      </c>
      <c r="I111">
        <v>98</v>
      </c>
    </row>
    <row r="112" spans="1:9">
      <c r="A112" t="s">
        <v>357</v>
      </c>
      <c r="B112" t="s">
        <v>337</v>
      </c>
      <c r="C112">
        <v>1</v>
      </c>
      <c r="E112">
        <v>49171.150999999998</v>
      </c>
      <c r="H112">
        <v>1</v>
      </c>
      <c r="I112">
        <v>99</v>
      </c>
    </row>
    <row r="113" spans="1:9">
      <c r="A113" t="s">
        <v>311</v>
      </c>
      <c r="B113" t="s">
        <v>298</v>
      </c>
      <c r="C113">
        <v>2</v>
      </c>
      <c r="E113">
        <v>49185.137999999999</v>
      </c>
      <c r="I113" t="s">
        <v>362</v>
      </c>
    </row>
    <row r="114" spans="1:9">
      <c r="A114" t="s">
        <v>357</v>
      </c>
      <c r="B114" t="s">
        <v>319</v>
      </c>
      <c r="C114">
        <v>3</v>
      </c>
      <c r="E114">
        <v>49271.54</v>
      </c>
      <c r="H114">
        <v>1.32</v>
      </c>
      <c r="I114">
        <v>99</v>
      </c>
    </row>
    <row r="115" spans="1:9">
      <c r="A115" t="s">
        <v>357</v>
      </c>
      <c r="B115" t="s">
        <v>319</v>
      </c>
      <c r="C115">
        <v>2</v>
      </c>
      <c r="E115">
        <v>49327.811000000002</v>
      </c>
      <c r="I115">
        <v>98</v>
      </c>
    </row>
    <row r="116" spans="1:9">
      <c r="A116" t="s">
        <v>357</v>
      </c>
      <c r="B116" t="s">
        <v>363</v>
      </c>
      <c r="C116">
        <v>3</v>
      </c>
      <c r="E116">
        <v>49313.813999999998</v>
      </c>
      <c r="I116">
        <v>98</v>
      </c>
    </row>
    <row r="117" spans="1:9">
      <c r="A117" t="s">
        <v>357</v>
      </c>
      <c r="B117" t="s">
        <v>363</v>
      </c>
      <c r="C117">
        <v>4</v>
      </c>
      <c r="E117">
        <v>49332.593000000001</v>
      </c>
      <c r="I117">
        <v>93</v>
      </c>
    </row>
    <row r="118" spans="1:9">
      <c r="A118" t="s">
        <v>349</v>
      </c>
      <c r="B118" t="s">
        <v>287</v>
      </c>
      <c r="C118">
        <v>3</v>
      </c>
      <c r="E118">
        <v>49328.14</v>
      </c>
      <c r="I118" t="s">
        <v>364</v>
      </c>
    </row>
    <row r="119" spans="1:9">
      <c r="A119" t="s">
        <v>349</v>
      </c>
      <c r="B119" t="s">
        <v>287</v>
      </c>
      <c r="C119">
        <v>2</v>
      </c>
      <c r="E119">
        <v>50689.489000000001</v>
      </c>
      <c r="I119" t="s">
        <v>365</v>
      </c>
    </row>
    <row r="120" spans="1:9">
      <c r="A120" t="s">
        <v>349</v>
      </c>
      <c r="B120" t="s">
        <v>287</v>
      </c>
      <c r="C120">
        <v>1</v>
      </c>
      <c r="E120">
        <v>50851.199000000001</v>
      </c>
      <c r="I120" t="s">
        <v>366</v>
      </c>
    </row>
    <row r="121" spans="1:9">
      <c r="A121" t="s">
        <v>311</v>
      </c>
      <c r="B121" t="s">
        <v>367</v>
      </c>
      <c r="C121">
        <v>1</v>
      </c>
      <c r="E121">
        <v>49403.385999999999</v>
      </c>
      <c r="I121">
        <v>95</v>
      </c>
    </row>
    <row r="122" spans="1:9">
      <c r="A122" t="s">
        <v>349</v>
      </c>
      <c r="B122" t="s">
        <v>291</v>
      </c>
      <c r="C122">
        <v>3</v>
      </c>
      <c r="E122">
        <v>50142.8</v>
      </c>
      <c r="I122" t="s">
        <v>368</v>
      </c>
    </row>
    <row r="123" spans="1:9">
      <c r="A123" t="s">
        <v>369</v>
      </c>
      <c r="B123" t="s">
        <v>264</v>
      </c>
      <c r="C123">
        <v>0</v>
      </c>
      <c r="E123">
        <v>50276.321000000004</v>
      </c>
      <c r="I123">
        <v>90</v>
      </c>
    </row>
    <row r="124" spans="1:9">
      <c r="A124" t="s">
        <v>349</v>
      </c>
      <c r="B124" t="s">
        <v>303</v>
      </c>
      <c r="C124">
        <v>1</v>
      </c>
      <c r="E124">
        <v>50458.192000000003</v>
      </c>
      <c r="I124" t="s">
        <v>370</v>
      </c>
    </row>
    <row r="125" spans="1:9">
      <c r="A125" t="s">
        <v>345</v>
      </c>
      <c r="B125" t="s">
        <v>254</v>
      </c>
      <c r="C125">
        <v>4</v>
      </c>
      <c r="E125">
        <v>50466.131000000001</v>
      </c>
      <c r="I125" t="s">
        <v>371</v>
      </c>
    </row>
    <row r="126" spans="1:9">
      <c r="A126" t="s">
        <v>345</v>
      </c>
      <c r="B126" t="s">
        <v>254</v>
      </c>
      <c r="C126">
        <v>3</v>
      </c>
      <c r="E126">
        <v>51306.038</v>
      </c>
      <c r="I126" t="s">
        <v>372</v>
      </c>
    </row>
    <row r="127" spans="1:9">
      <c r="A127" t="s">
        <v>345</v>
      </c>
      <c r="B127" t="s">
        <v>254</v>
      </c>
      <c r="C127">
        <v>2</v>
      </c>
      <c r="E127">
        <v>52040.523000000001</v>
      </c>
      <c r="I127" t="s">
        <v>373</v>
      </c>
    </row>
    <row r="128" spans="1:9">
      <c r="A128" t="s">
        <v>374</v>
      </c>
      <c r="B128" t="s">
        <v>358</v>
      </c>
      <c r="C128">
        <v>1</v>
      </c>
      <c r="E128">
        <v>50536.703000000001</v>
      </c>
      <c r="H128">
        <v>1.54</v>
      </c>
      <c r="I128">
        <v>99</v>
      </c>
    </row>
    <row r="129" spans="1:9">
      <c r="A129" t="s">
        <v>374</v>
      </c>
      <c r="B129" t="s">
        <v>358</v>
      </c>
      <c r="C129">
        <v>0</v>
      </c>
      <c r="E129">
        <v>51457.25</v>
      </c>
      <c r="I129" t="s">
        <v>375</v>
      </c>
    </row>
    <row r="130" spans="1:9">
      <c r="A130" t="s">
        <v>374</v>
      </c>
      <c r="B130" t="s">
        <v>363</v>
      </c>
      <c r="C130">
        <v>3</v>
      </c>
      <c r="E130">
        <v>50677.555</v>
      </c>
      <c r="H130">
        <v>1.02</v>
      </c>
      <c r="I130">
        <v>99</v>
      </c>
    </row>
    <row r="131" spans="1:9">
      <c r="A131" t="s">
        <v>374</v>
      </c>
      <c r="B131" t="s">
        <v>363</v>
      </c>
      <c r="C131">
        <v>4</v>
      </c>
      <c r="E131">
        <v>50706.273000000001</v>
      </c>
      <c r="I131">
        <v>98</v>
      </c>
    </row>
    <row r="132" spans="1:9">
      <c r="A132" t="s">
        <v>374</v>
      </c>
      <c r="B132" t="s">
        <v>337</v>
      </c>
      <c r="C132">
        <v>1</v>
      </c>
      <c r="E132">
        <v>50716.896000000001</v>
      </c>
      <c r="I132">
        <v>94</v>
      </c>
    </row>
    <row r="133" spans="1:9">
      <c r="A133" t="s">
        <v>374</v>
      </c>
      <c r="B133" t="s">
        <v>337</v>
      </c>
      <c r="C133">
        <v>2</v>
      </c>
      <c r="E133">
        <v>50754.103000000003</v>
      </c>
      <c r="I133">
        <v>98</v>
      </c>
    </row>
    <row r="134" spans="1:9">
      <c r="A134" t="s">
        <v>376</v>
      </c>
      <c r="B134" t="s">
        <v>283</v>
      </c>
      <c r="C134">
        <v>4</v>
      </c>
      <c r="E134">
        <v>50789.303</v>
      </c>
      <c r="I134" t="s">
        <v>377</v>
      </c>
    </row>
    <row r="135" spans="1:9">
      <c r="A135" t="s">
        <v>376</v>
      </c>
      <c r="B135" t="s">
        <v>283</v>
      </c>
      <c r="C135">
        <v>3</v>
      </c>
      <c r="E135">
        <v>51124.661999999997</v>
      </c>
      <c r="I135" t="s">
        <v>378</v>
      </c>
    </row>
    <row r="136" spans="1:9">
      <c r="A136" t="s">
        <v>376</v>
      </c>
      <c r="B136" t="s">
        <v>283</v>
      </c>
      <c r="C136">
        <v>2</v>
      </c>
      <c r="E136">
        <v>51343.546999999999</v>
      </c>
      <c r="I136" t="s">
        <v>379</v>
      </c>
    </row>
    <row r="137" spans="1:9">
      <c r="A137" t="s">
        <v>374</v>
      </c>
      <c r="B137" t="s">
        <v>319</v>
      </c>
      <c r="C137">
        <v>3</v>
      </c>
      <c r="E137">
        <v>50832.000999999997</v>
      </c>
      <c r="I137">
        <v>99</v>
      </c>
    </row>
    <row r="138" spans="1:9">
      <c r="A138" t="s">
        <v>374</v>
      </c>
      <c r="B138" t="s">
        <v>319</v>
      </c>
      <c r="C138">
        <v>2</v>
      </c>
      <c r="E138">
        <v>50834.400999999998</v>
      </c>
      <c r="I138">
        <v>97</v>
      </c>
    </row>
    <row r="139" spans="1:9">
      <c r="A139" t="s">
        <v>380</v>
      </c>
      <c r="B139" t="s">
        <v>319</v>
      </c>
      <c r="C139">
        <v>3</v>
      </c>
      <c r="E139">
        <v>52197.444000000003</v>
      </c>
      <c r="I139">
        <v>100</v>
      </c>
    </row>
    <row r="140" spans="1:9">
      <c r="A140" t="s">
        <v>380</v>
      </c>
      <c r="B140" t="s">
        <v>319</v>
      </c>
      <c r="C140">
        <v>2</v>
      </c>
      <c r="E140">
        <v>52271.68</v>
      </c>
      <c r="I140">
        <v>100</v>
      </c>
    </row>
    <row r="141" spans="1:9">
      <c r="A141" t="s">
        <v>381</v>
      </c>
      <c r="B141" t="s">
        <v>337</v>
      </c>
      <c r="C141">
        <v>1</v>
      </c>
      <c r="E141">
        <v>53703.851000000002</v>
      </c>
      <c r="I141">
        <v>100</v>
      </c>
    </row>
    <row r="142" spans="1:9">
      <c r="A142" t="s">
        <v>381</v>
      </c>
      <c r="B142" t="s">
        <v>337</v>
      </c>
      <c r="C142">
        <v>2</v>
      </c>
      <c r="E142">
        <v>53753.982000000004</v>
      </c>
      <c r="I142">
        <v>100</v>
      </c>
    </row>
    <row r="143" spans="1:9">
      <c r="A143" t="s">
        <v>382</v>
      </c>
      <c r="B143" t="s">
        <v>254</v>
      </c>
      <c r="C143">
        <v>4</v>
      </c>
      <c r="E143">
        <v>54237.099000000002</v>
      </c>
      <c r="H143">
        <v>1.27</v>
      </c>
      <c r="I143">
        <v>93</v>
      </c>
    </row>
    <row r="144" spans="1:9">
      <c r="A144" t="s">
        <v>382</v>
      </c>
      <c r="B144" t="s">
        <v>254</v>
      </c>
      <c r="C144">
        <v>3</v>
      </c>
      <c r="E144">
        <v>55576.843000000001</v>
      </c>
      <c r="H144">
        <v>1</v>
      </c>
      <c r="I144" t="s">
        <v>383</v>
      </c>
    </row>
    <row r="145" spans="1:9">
      <c r="A145" t="s">
        <v>382</v>
      </c>
      <c r="B145" t="s">
        <v>254</v>
      </c>
      <c r="C145">
        <v>2</v>
      </c>
      <c r="E145">
        <v>55920.485000000001</v>
      </c>
      <c r="I145" t="s">
        <v>384</v>
      </c>
    </row>
    <row r="146" spans="1:9">
      <c r="A146" t="s">
        <v>382</v>
      </c>
      <c r="B146" t="s">
        <v>385</v>
      </c>
      <c r="C146">
        <v>3</v>
      </c>
      <c r="E146">
        <v>54251.307999999997</v>
      </c>
      <c r="I146" t="s">
        <v>386</v>
      </c>
    </row>
    <row r="147" spans="1:9">
      <c r="A147" t="s">
        <v>387</v>
      </c>
      <c r="B147" t="s">
        <v>388</v>
      </c>
      <c r="C147">
        <v>2</v>
      </c>
      <c r="E147">
        <v>54309.036999999997</v>
      </c>
      <c r="I147">
        <v>89</v>
      </c>
    </row>
    <row r="148" spans="1:9">
      <c r="A148" t="s">
        <v>387</v>
      </c>
      <c r="B148" t="s">
        <v>388</v>
      </c>
      <c r="C148">
        <v>1</v>
      </c>
      <c r="E148">
        <v>54495.370999999999</v>
      </c>
      <c r="I148">
        <v>93</v>
      </c>
    </row>
    <row r="149" spans="1:9">
      <c r="A149" t="s">
        <v>376</v>
      </c>
      <c r="B149" t="s">
        <v>293</v>
      </c>
      <c r="C149">
        <v>5</v>
      </c>
      <c r="E149">
        <v>54328.881999999998</v>
      </c>
      <c r="I149">
        <v>99</v>
      </c>
    </row>
    <row r="150" spans="1:9">
      <c r="A150" t="s">
        <v>387</v>
      </c>
      <c r="B150" t="s">
        <v>389</v>
      </c>
      <c r="C150">
        <v>3</v>
      </c>
      <c r="E150">
        <v>54485.913</v>
      </c>
      <c r="I150">
        <v>90</v>
      </c>
    </row>
    <row r="151" spans="1:9">
      <c r="A151" t="s">
        <v>387</v>
      </c>
      <c r="B151" t="s">
        <v>389</v>
      </c>
      <c r="C151">
        <v>4</v>
      </c>
      <c r="E151">
        <v>54544.313000000002</v>
      </c>
      <c r="I151">
        <v>98</v>
      </c>
    </row>
    <row r="152" spans="1:9">
      <c r="A152" t="s">
        <v>387</v>
      </c>
      <c r="B152" t="s">
        <v>390</v>
      </c>
      <c r="C152">
        <v>2</v>
      </c>
      <c r="E152">
        <v>54548.343999999997</v>
      </c>
      <c r="I152">
        <v>90</v>
      </c>
    </row>
    <row r="153" spans="1:9">
      <c r="A153" t="s">
        <v>387</v>
      </c>
      <c r="B153" t="s">
        <v>390</v>
      </c>
      <c r="C153">
        <v>3</v>
      </c>
      <c r="E153">
        <v>54606.665000000001</v>
      </c>
      <c r="I153">
        <v>94</v>
      </c>
    </row>
    <row r="154" spans="1:9">
      <c r="A154" t="s">
        <v>391</v>
      </c>
      <c r="B154" t="s">
        <v>358</v>
      </c>
      <c r="C154">
        <v>1</v>
      </c>
      <c r="E154">
        <v>54574.644999999997</v>
      </c>
      <c r="I154">
        <v>99</v>
      </c>
    </row>
    <row r="155" spans="1:9">
      <c r="A155" t="s">
        <v>391</v>
      </c>
      <c r="B155" t="s">
        <v>358</v>
      </c>
      <c r="C155">
        <v>0</v>
      </c>
      <c r="E155">
        <v>55015.084000000003</v>
      </c>
      <c r="I155" t="s">
        <v>392</v>
      </c>
    </row>
    <row r="156" spans="1:9">
      <c r="A156" t="s">
        <v>391</v>
      </c>
      <c r="B156" t="s">
        <v>337</v>
      </c>
      <c r="C156">
        <v>1</v>
      </c>
      <c r="E156">
        <v>54659.538</v>
      </c>
      <c r="I156" t="s">
        <v>368</v>
      </c>
    </row>
    <row r="157" spans="1:9">
      <c r="A157" t="s">
        <v>391</v>
      </c>
      <c r="B157" t="s">
        <v>337</v>
      </c>
      <c r="C157">
        <v>2</v>
      </c>
      <c r="E157">
        <v>54667.3</v>
      </c>
      <c r="I157">
        <v>96</v>
      </c>
    </row>
    <row r="158" spans="1:9">
      <c r="A158" t="s">
        <v>391</v>
      </c>
      <c r="B158" t="s">
        <v>361</v>
      </c>
      <c r="C158">
        <v>5</v>
      </c>
      <c r="E158">
        <v>54659.709000000003</v>
      </c>
      <c r="H158">
        <v>1.07</v>
      </c>
      <c r="I158">
        <v>100</v>
      </c>
    </row>
    <row r="159" spans="1:9">
      <c r="A159" t="s">
        <v>391</v>
      </c>
      <c r="B159" t="s">
        <v>361</v>
      </c>
      <c r="C159">
        <v>4</v>
      </c>
      <c r="E159">
        <v>54667.3</v>
      </c>
      <c r="I159">
        <v>100</v>
      </c>
    </row>
    <row r="160" spans="1:9">
      <c r="A160" t="s">
        <v>393</v>
      </c>
      <c r="B160" t="s">
        <v>394</v>
      </c>
      <c r="C160">
        <v>0</v>
      </c>
      <c r="E160">
        <v>54698.368000000002</v>
      </c>
      <c r="I160">
        <v>100</v>
      </c>
    </row>
    <row r="161" spans="1:9">
      <c r="A161" t="s">
        <v>393</v>
      </c>
      <c r="B161" t="s">
        <v>394</v>
      </c>
      <c r="C161">
        <v>1</v>
      </c>
      <c r="E161">
        <v>54699.076000000001</v>
      </c>
      <c r="I161">
        <v>100</v>
      </c>
    </row>
    <row r="162" spans="1:9">
      <c r="A162" t="s">
        <v>391</v>
      </c>
      <c r="B162" t="s">
        <v>319</v>
      </c>
      <c r="C162">
        <v>3</v>
      </c>
      <c r="E162">
        <v>54699.809000000001</v>
      </c>
      <c r="I162">
        <v>97</v>
      </c>
    </row>
    <row r="163" spans="1:9">
      <c r="A163" t="s">
        <v>391</v>
      </c>
      <c r="B163" t="s">
        <v>319</v>
      </c>
      <c r="C163">
        <v>2</v>
      </c>
      <c r="E163">
        <v>54732.370999999999</v>
      </c>
      <c r="I163">
        <v>96</v>
      </c>
    </row>
    <row r="164" spans="1:9">
      <c r="A164" t="s">
        <v>393</v>
      </c>
      <c r="B164" t="s">
        <v>388</v>
      </c>
      <c r="C164">
        <v>1</v>
      </c>
      <c r="E164">
        <v>54711.889000000003</v>
      </c>
      <c r="I164">
        <v>100</v>
      </c>
    </row>
    <row r="165" spans="1:9">
      <c r="A165" t="s">
        <v>393</v>
      </c>
      <c r="B165" t="s">
        <v>388</v>
      </c>
      <c r="C165">
        <v>2</v>
      </c>
      <c r="E165">
        <v>54713.059000000001</v>
      </c>
      <c r="I165">
        <v>100</v>
      </c>
    </row>
    <row r="166" spans="1:9">
      <c r="A166" t="s">
        <v>393</v>
      </c>
      <c r="B166" t="s">
        <v>395</v>
      </c>
      <c r="C166">
        <v>5</v>
      </c>
      <c r="E166">
        <v>54716.235000000001</v>
      </c>
      <c r="I166">
        <v>100</v>
      </c>
    </row>
    <row r="167" spans="1:9">
      <c r="A167" t="s">
        <v>393</v>
      </c>
      <c r="B167" t="s">
        <v>395</v>
      </c>
      <c r="C167">
        <v>6</v>
      </c>
      <c r="E167">
        <v>54716.677000000003</v>
      </c>
      <c r="I167">
        <v>100</v>
      </c>
    </row>
    <row r="168" spans="1:9">
      <c r="A168" t="s">
        <v>393</v>
      </c>
      <c r="B168" t="s">
        <v>390</v>
      </c>
      <c r="C168">
        <v>3</v>
      </c>
      <c r="E168">
        <v>54727.97</v>
      </c>
      <c r="I168">
        <v>99</v>
      </c>
    </row>
    <row r="169" spans="1:9">
      <c r="A169" t="s">
        <v>393</v>
      </c>
      <c r="B169" t="s">
        <v>390</v>
      </c>
      <c r="C169">
        <v>2</v>
      </c>
      <c r="E169">
        <v>54728.747000000003</v>
      </c>
      <c r="I169">
        <v>100</v>
      </c>
    </row>
    <row r="170" spans="1:9">
      <c r="A170" t="s">
        <v>393</v>
      </c>
      <c r="B170" t="s">
        <v>389</v>
      </c>
      <c r="C170">
        <v>3</v>
      </c>
      <c r="E170">
        <v>54741.266000000003</v>
      </c>
      <c r="I170">
        <v>99</v>
      </c>
    </row>
    <row r="171" spans="1:9">
      <c r="A171" t="s">
        <v>393</v>
      </c>
      <c r="B171" t="s">
        <v>389</v>
      </c>
      <c r="C171">
        <v>4</v>
      </c>
      <c r="E171">
        <v>54741.635999999999</v>
      </c>
      <c r="I171" t="s">
        <v>396</v>
      </c>
    </row>
    <row r="172" spans="1:9">
      <c r="A172" t="s">
        <v>393</v>
      </c>
      <c r="B172" t="s">
        <v>397</v>
      </c>
      <c r="C172">
        <v>4</v>
      </c>
      <c r="E172">
        <v>54742.154000000002</v>
      </c>
      <c r="I172" t="s">
        <v>398</v>
      </c>
    </row>
    <row r="173" spans="1:9">
      <c r="A173" t="s">
        <v>393</v>
      </c>
      <c r="B173" t="s">
        <v>397</v>
      </c>
      <c r="C173">
        <v>5</v>
      </c>
      <c r="E173">
        <v>54742.525000000001</v>
      </c>
      <c r="I173">
        <v>99</v>
      </c>
    </row>
    <row r="174" spans="1:9">
      <c r="A174" t="s">
        <v>391</v>
      </c>
      <c r="B174" t="s">
        <v>363</v>
      </c>
      <c r="C174">
        <v>4</v>
      </c>
      <c r="E174">
        <v>54761.288999999997</v>
      </c>
      <c r="I174">
        <v>95</v>
      </c>
    </row>
    <row r="175" spans="1:9">
      <c r="A175" t="s">
        <v>391</v>
      </c>
      <c r="B175" t="s">
        <v>363</v>
      </c>
      <c r="C175">
        <v>3</v>
      </c>
      <c r="E175">
        <v>54772.137000000002</v>
      </c>
      <c r="I175">
        <v>92</v>
      </c>
    </row>
    <row r="176" spans="1:9">
      <c r="A176" t="s">
        <v>399</v>
      </c>
      <c r="B176" t="s">
        <v>271</v>
      </c>
      <c r="C176">
        <v>4</v>
      </c>
      <c r="E176">
        <v>55556.930999999997</v>
      </c>
      <c r="I176" t="s">
        <v>400</v>
      </c>
    </row>
    <row r="177" spans="1:9">
      <c r="A177" t="s">
        <v>399</v>
      </c>
      <c r="B177" t="s">
        <v>271</v>
      </c>
      <c r="C177">
        <v>3</v>
      </c>
      <c r="E177">
        <v>56261.989000000001</v>
      </c>
      <c r="I177" t="s">
        <v>401</v>
      </c>
    </row>
    <row r="178" spans="1:9">
      <c r="A178" t="s">
        <v>399</v>
      </c>
      <c r="B178" t="s">
        <v>271</v>
      </c>
      <c r="C178">
        <v>2</v>
      </c>
      <c r="E178">
        <v>56940.517</v>
      </c>
      <c r="I178" t="s">
        <v>402</v>
      </c>
    </row>
    <row r="179" spans="1:9">
      <c r="A179" t="s">
        <v>399</v>
      </c>
      <c r="B179" t="s">
        <v>271</v>
      </c>
      <c r="C179">
        <v>1</v>
      </c>
      <c r="E179">
        <v>57516.982000000004</v>
      </c>
      <c r="I179" t="s">
        <v>403</v>
      </c>
    </row>
    <row r="180" spans="1:9">
      <c r="A180" t="s">
        <v>399</v>
      </c>
      <c r="B180" t="s">
        <v>271</v>
      </c>
      <c r="C180">
        <v>0</v>
      </c>
      <c r="E180">
        <v>57852.913999999997</v>
      </c>
      <c r="I180">
        <v>98</v>
      </c>
    </row>
    <row r="181" spans="1:9">
      <c r="A181" t="s">
        <v>399</v>
      </c>
      <c r="B181" t="s">
        <v>272</v>
      </c>
      <c r="C181">
        <v>6</v>
      </c>
      <c r="E181">
        <v>55696.483999999997</v>
      </c>
      <c r="I181">
        <v>100</v>
      </c>
    </row>
    <row r="182" spans="1:9">
      <c r="A182" t="s">
        <v>399</v>
      </c>
      <c r="B182" t="s">
        <v>272</v>
      </c>
      <c r="C182">
        <v>5</v>
      </c>
      <c r="E182">
        <v>56243.785000000003</v>
      </c>
      <c r="I182" t="s">
        <v>404</v>
      </c>
    </row>
    <row r="183" spans="1:9">
      <c r="A183" t="s">
        <v>399</v>
      </c>
      <c r="B183" t="s">
        <v>272</v>
      </c>
      <c r="C183">
        <v>4</v>
      </c>
      <c r="E183">
        <v>56934.881999999998</v>
      </c>
      <c r="I183" t="s">
        <v>405</v>
      </c>
    </row>
    <row r="184" spans="1:9">
      <c r="A184" t="s">
        <v>399</v>
      </c>
      <c r="B184" t="s">
        <v>272</v>
      </c>
      <c r="C184">
        <v>3</v>
      </c>
      <c r="E184">
        <v>57547.696000000004</v>
      </c>
      <c r="I184" t="s">
        <v>406</v>
      </c>
    </row>
    <row r="185" spans="1:9">
      <c r="A185" t="s">
        <v>399</v>
      </c>
      <c r="B185" t="s">
        <v>272</v>
      </c>
      <c r="C185">
        <v>2</v>
      </c>
      <c r="E185">
        <v>57945.692999999999</v>
      </c>
      <c r="I185" t="s">
        <v>407</v>
      </c>
    </row>
    <row r="186" spans="1:9">
      <c r="A186" t="s">
        <v>399</v>
      </c>
      <c r="B186" t="s">
        <v>276</v>
      </c>
      <c r="C186">
        <v>5</v>
      </c>
      <c r="E186">
        <v>55751.822999999997</v>
      </c>
      <c r="I186" t="s">
        <v>408</v>
      </c>
    </row>
    <row r="187" spans="1:9">
      <c r="A187" t="s">
        <v>399</v>
      </c>
      <c r="B187" t="s">
        <v>276</v>
      </c>
      <c r="C187">
        <v>4</v>
      </c>
      <c r="E187">
        <v>56339.123</v>
      </c>
      <c r="I187" t="s">
        <v>409</v>
      </c>
    </row>
    <row r="188" spans="1:9">
      <c r="A188" t="s">
        <v>399</v>
      </c>
      <c r="B188" t="s">
        <v>276</v>
      </c>
      <c r="C188">
        <v>3</v>
      </c>
      <c r="E188">
        <v>56983.815000000002</v>
      </c>
      <c r="I188" t="s">
        <v>410</v>
      </c>
    </row>
    <row r="189" spans="1:9">
      <c r="A189" t="s">
        <v>399</v>
      </c>
      <c r="B189" t="s">
        <v>276</v>
      </c>
      <c r="C189">
        <v>2</v>
      </c>
      <c r="E189">
        <v>57527.275000000001</v>
      </c>
      <c r="I189" t="s">
        <v>411</v>
      </c>
    </row>
    <row r="190" spans="1:9">
      <c r="A190" t="s">
        <v>399</v>
      </c>
      <c r="B190" t="s">
        <v>276</v>
      </c>
      <c r="C190">
        <v>1</v>
      </c>
      <c r="E190">
        <v>57992.972999999998</v>
      </c>
      <c r="I190" t="s">
        <v>412</v>
      </c>
    </row>
    <row r="191" spans="1:9">
      <c r="A191" t="s">
        <v>413</v>
      </c>
      <c r="B191" t="s">
        <v>394</v>
      </c>
      <c r="C191">
        <v>1</v>
      </c>
      <c r="E191">
        <v>55881.065999999999</v>
      </c>
      <c r="I191">
        <v>91</v>
      </c>
    </row>
    <row r="192" spans="1:9">
      <c r="A192" t="s">
        <v>413</v>
      </c>
      <c r="B192" t="s">
        <v>388</v>
      </c>
      <c r="C192">
        <v>2</v>
      </c>
      <c r="E192">
        <v>55942.701999999997</v>
      </c>
      <c r="I192" t="s">
        <v>414</v>
      </c>
    </row>
    <row r="193" spans="1:9">
      <c r="A193" t="s">
        <v>415</v>
      </c>
      <c r="B193" t="s">
        <v>319</v>
      </c>
      <c r="C193">
        <v>3</v>
      </c>
      <c r="E193">
        <v>55971.345000000001</v>
      </c>
      <c r="I193">
        <v>99</v>
      </c>
    </row>
    <row r="194" spans="1:9">
      <c r="A194" t="s">
        <v>415</v>
      </c>
      <c r="B194" t="s">
        <v>319</v>
      </c>
      <c r="C194">
        <v>2</v>
      </c>
      <c r="E194">
        <v>56021.949000000001</v>
      </c>
      <c r="H194">
        <v>1.03</v>
      </c>
      <c r="I194">
        <v>99</v>
      </c>
    </row>
    <row r="195" spans="1:9">
      <c r="A195" t="s">
        <v>413</v>
      </c>
      <c r="B195" t="s">
        <v>390</v>
      </c>
      <c r="C195">
        <v>3</v>
      </c>
      <c r="E195">
        <v>55979.946000000004</v>
      </c>
      <c r="I195">
        <v>83</v>
      </c>
    </row>
    <row r="196" spans="1:9">
      <c r="A196" t="s">
        <v>413</v>
      </c>
      <c r="B196" t="s">
        <v>390</v>
      </c>
      <c r="C196">
        <v>2</v>
      </c>
      <c r="E196">
        <v>56053.074999999997</v>
      </c>
      <c r="I196" t="s">
        <v>416</v>
      </c>
    </row>
    <row r="197" spans="1:9">
      <c r="A197" t="s">
        <v>417</v>
      </c>
      <c r="B197" t="s">
        <v>358</v>
      </c>
      <c r="C197">
        <v>1</v>
      </c>
      <c r="E197">
        <v>56107.925999999999</v>
      </c>
      <c r="I197">
        <v>99</v>
      </c>
    </row>
    <row r="198" spans="1:9">
      <c r="A198" t="s">
        <v>417</v>
      </c>
      <c r="B198" t="s">
        <v>358</v>
      </c>
      <c r="C198">
        <v>0</v>
      </c>
      <c r="E198">
        <v>56400.769</v>
      </c>
      <c r="I198" t="s">
        <v>418</v>
      </c>
    </row>
    <row r="199" spans="1:9">
      <c r="A199" t="s">
        <v>417</v>
      </c>
      <c r="B199" t="s">
        <v>363</v>
      </c>
      <c r="C199">
        <v>3</v>
      </c>
      <c r="E199">
        <v>56172.656999999999</v>
      </c>
      <c r="I199">
        <v>100</v>
      </c>
    </row>
    <row r="200" spans="1:9">
      <c r="A200" t="s">
        <v>417</v>
      </c>
      <c r="B200" t="s">
        <v>363</v>
      </c>
      <c r="C200">
        <v>4</v>
      </c>
      <c r="E200">
        <v>56183.497000000003</v>
      </c>
      <c r="I200">
        <v>100</v>
      </c>
    </row>
    <row r="201" spans="1:9">
      <c r="A201" t="s">
        <v>417</v>
      </c>
      <c r="B201" t="s">
        <v>337</v>
      </c>
      <c r="C201">
        <v>1</v>
      </c>
      <c r="E201">
        <v>56188.716</v>
      </c>
      <c r="I201">
        <v>94</v>
      </c>
    </row>
    <row r="202" spans="1:9">
      <c r="A202" t="s">
        <v>417</v>
      </c>
      <c r="B202" t="s">
        <v>337</v>
      </c>
      <c r="C202">
        <v>2</v>
      </c>
      <c r="E202">
        <v>56201.319000000003</v>
      </c>
      <c r="I202">
        <v>99</v>
      </c>
    </row>
    <row r="203" spans="1:9">
      <c r="A203" t="s">
        <v>419</v>
      </c>
      <c r="B203" t="s">
        <v>388</v>
      </c>
      <c r="C203">
        <v>2</v>
      </c>
      <c r="E203">
        <v>56214.38</v>
      </c>
      <c r="I203">
        <v>100</v>
      </c>
    </row>
    <row r="204" spans="1:9">
      <c r="A204" t="s">
        <v>419</v>
      </c>
      <c r="B204" t="s">
        <v>388</v>
      </c>
      <c r="C204">
        <v>1</v>
      </c>
      <c r="E204">
        <v>56215.474000000002</v>
      </c>
      <c r="I204">
        <v>100</v>
      </c>
    </row>
    <row r="205" spans="1:9">
      <c r="A205" t="s">
        <v>419</v>
      </c>
      <c r="B205" t="s">
        <v>397</v>
      </c>
      <c r="C205">
        <v>5</v>
      </c>
      <c r="E205">
        <v>56225.292000000001</v>
      </c>
      <c r="I205">
        <v>98</v>
      </c>
    </row>
    <row r="206" spans="1:9">
      <c r="A206" t="s">
        <v>419</v>
      </c>
      <c r="B206" t="s">
        <v>397</v>
      </c>
      <c r="C206">
        <v>4</v>
      </c>
      <c r="E206">
        <v>56227.069000000003</v>
      </c>
      <c r="I206">
        <v>100</v>
      </c>
    </row>
    <row r="207" spans="1:9">
      <c r="A207" t="s">
        <v>419</v>
      </c>
      <c r="B207" t="s">
        <v>390</v>
      </c>
      <c r="C207">
        <v>3</v>
      </c>
      <c r="E207">
        <v>56238.709000000003</v>
      </c>
      <c r="I207">
        <v>93</v>
      </c>
    </row>
    <row r="208" spans="1:9">
      <c r="A208" t="s">
        <v>419</v>
      </c>
      <c r="B208" t="s">
        <v>390</v>
      </c>
      <c r="C208">
        <v>2</v>
      </c>
      <c r="E208">
        <v>56239.347999999998</v>
      </c>
      <c r="I208">
        <v>99</v>
      </c>
    </row>
    <row r="209" spans="1:9">
      <c r="A209" t="s">
        <v>419</v>
      </c>
      <c r="B209" t="s">
        <v>389</v>
      </c>
      <c r="C209">
        <v>3</v>
      </c>
      <c r="E209">
        <v>56249.555999999997</v>
      </c>
      <c r="I209" t="s">
        <v>420</v>
      </c>
    </row>
    <row r="210" spans="1:9">
      <c r="A210" t="s">
        <v>419</v>
      </c>
      <c r="B210" t="s">
        <v>389</v>
      </c>
      <c r="C210">
        <v>4</v>
      </c>
      <c r="E210">
        <v>56250.860999999997</v>
      </c>
      <c r="I210">
        <v>99</v>
      </c>
    </row>
    <row r="211" spans="1:9">
      <c r="A211" t="s">
        <v>417</v>
      </c>
      <c r="B211" t="s">
        <v>319</v>
      </c>
      <c r="C211">
        <v>3</v>
      </c>
      <c r="E211">
        <v>56262.913</v>
      </c>
      <c r="I211">
        <v>97</v>
      </c>
    </row>
    <row r="212" spans="1:9">
      <c r="A212" t="s">
        <v>417</v>
      </c>
      <c r="B212" t="s">
        <v>319</v>
      </c>
      <c r="C212">
        <v>2</v>
      </c>
      <c r="E212">
        <v>56274.446000000004</v>
      </c>
      <c r="I212">
        <v>91</v>
      </c>
    </row>
    <row r="213" spans="1:9">
      <c r="A213" t="s">
        <v>421</v>
      </c>
      <c r="B213" t="s">
        <v>296</v>
      </c>
      <c r="C213">
        <v>3</v>
      </c>
      <c r="E213">
        <v>56525.400999999998</v>
      </c>
      <c r="I213" t="s">
        <v>422</v>
      </c>
    </row>
    <row r="214" spans="1:9">
      <c r="A214" t="s">
        <v>421</v>
      </c>
      <c r="B214" t="s">
        <v>298</v>
      </c>
      <c r="C214">
        <v>2</v>
      </c>
      <c r="E214">
        <v>56561.737000000001</v>
      </c>
      <c r="I214" t="s">
        <v>423</v>
      </c>
    </row>
    <row r="215" spans="1:9">
      <c r="A215" t="s">
        <v>424</v>
      </c>
      <c r="B215" t="s">
        <v>425</v>
      </c>
      <c r="C215">
        <v>6</v>
      </c>
      <c r="E215">
        <v>56624.599000000002</v>
      </c>
      <c r="I215">
        <v>93</v>
      </c>
    </row>
    <row r="216" spans="1:9">
      <c r="A216" t="s">
        <v>424</v>
      </c>
      <c r="B216" t="s">
        <v>425</v>
      </c>
      <c r="C216">
        <v>7</v>
      </c>
      <c r="E216">
        <v>56885.214999999997</v>
      </c>
      <c r="I216">
        <v>100</v>
      </c>
    </row>
    <row r="217" spans="1:9">
      <c r="A217" t="s">
        <v>424</v>
      </c>
      <c r="B217" t="s">
        <v>319</v>
      </c>
      <c r="C217">
        <v>2</v>
      </c>
      <c r="E217">
        <v>56710.828999999998</v>
      </c>
      <c r="I217">
        <v>93</v>
      </c>
    </row>
    <row r="218" spans="1:9">
      <c r="A218" t="s">
        <v>424</v>
      </c>
      <c r="B218" t="s">
        <v>319</v>
      </c>
      <c r="C218">
        <v>3</v>
      </c>
      <c r="E218">
        <v>56821.487000000001</v>
      </c>
      <c r="I218" t="s">
        <v>426</v>
      </c>
    </row>
    <row r="219" spans="1:9">
      <c r="A219" t="s">
        <v>424</v>
      </c>
      <c r="B219" t="s">
        <v>361</v>
      </c>
      <c r="C219">
        <v>4</v>
      </c>
      <c r="E219">
        <v>56766.48</v>
      </c>
      <c r="I219" t="s">
        <v>427</v>
      </c>
    </row>
    <row r="220" spans="1:9">
      <c r="A220" t="s">
        <v>424</v>
      </c>
      <c r="B220" t="s">
        <v>361</v>
      </c>
      <c r="C220">
        <v>5</v>
      </c>
      <c r="E220">
        <v>56973.654000000002</v>
      </c>
      <c r="I220">
        <v>95</v>
      </c>
    </row>
    <row r="221" spans="1:9">
      <c r="A221" t="s">
        <v>424</v>
      </c>
      <c r="B221" t="s">
        <v>428</v>
      </c>
      <c r="C221">
        <v>5</v>
      </c>
      <c r="E221">
        <v>56801.586000000003</v>
      </c>
      <c r="I221">
        <v>92</v>
      </c>
    </row>
    <row r="222" spans="1:9">
      <c r="A222" t="s">
        <v>424</v>
      </c>
      <c r="B222" t="s">
        <v>428</v>
      </c>
      <c r="C222">
        <v>6</v>
      </c>
      <c r="E222">
        <v>56954.097999999998</v>
      </c>
      <c r="I222">
        <v>97</v>
      </c>
    </row>
    <row r="223" spans="1:9">
      <c r="A223" t="s">
        <v>424</v>
      </c>
      <c r="B223" t="s">
        <v>363</v>
      </c>
      <c r="C223">
        <v>4</v>
      </c>
      <c r="E223">
        <v>56857.883999999998</v>
      </c>
      <c r="I223" t="s">
        <v>429</v>
      </c>
    </row>
    <row r="224" spans="1:9">
      <c r="A224" t="s">
        <v>424</v>
      </c>
      <c r="B224" t="s">
        <v>363</v>
      </c>
      <c r="C224">
        <v>3</v>
      </c>
      <c r="E224">
        <v>57103.88</v>
      </c>
      <c r="I224" t="s">
        <v>430</v>
      </c>
    </row>
    <row r="225" spans="1:9">
      <c r="A225" t="s">
        <v>431</v>
      </c>
      <c r="B225" t="s">
        <v>395</v>
      </c>
      <c r="C225">
        <v>5</v>
      </c>
      <c r="E225">
        <v>57205.078000000001</v>
      </c>
      <c r="I225">
        <v>100</v>
      </c>
    </row>
    <row r="226" spans="1:9">
      <c r="A226" t="s">
        <v>431</v>
      </c>
      <c r="B226" t="s">
        <v>395</v>
      </c>
      <c r="C226">
        <v>6</v>
      </c>
      <c r="E226">
        <v>57205.428</v>
      </c>
      <c r="I226">
        <v>100</v>
      </c>
    </row>
    <row r="227" spans="1:9">
      <c r="A227" t="s">
        <v>431</v>
      </c>
      <c r="B227" t="s">
        <v>397</v>
      </c>
      <c r="C227">
        <v>4</v>
      </c>
      <c r="E227">
        <v>57213.065000000002</v>
      </c>
      <c r="I227" t="s">
        <v>432</v>
      </c>
    </row>
    <row r="228" spans="1:9">
      <c r="A228" t="s">
        <v>431</v>
      </c>
      <c r="B228" t="s">
        <v>397</v>
      </c>
      <c r="C228">
        <v>5</v>
      </c>
      <c r="E228">
        <v>57213.671999999999</v>
      </c>
      <c r="I228">
        <v>100</v>
      </c>
    </row>
    <row r="229" spans="1:9">
      <c r="A229" t="s">
        <v>431</v>
      </c>
      <c r="B229" t="s">
        <v>389</v>
      </c>
      <c r="C229">
        <v>4</v>
      </c>
      <c r="E229">
        <v>57213.432999999997</v>
      </c>
      <c r="I229" t="s">
        <v>433</v>
      </c>
    </row>
    <row r="230" spans="1:9">
      <c r="A230" t="s">
        <v>434</v>
      </c>
      <c r="B230" t="s">
        <v>337</v>
      </c>
      <c r="C230">
        <v>1</v>
      </c>
      <c r="E230">
        <v>57219.635000000002</v>
      </c>
      <c r="I230">
        <v>100</v>
      </c>
    </row>
    <row r="231" spans="1:9">
      <c r="A231" t="s">
        <v>434</v>
      </c>
      <c r="B231" t="s">
        <v>337</v>
      </c>
      <c r="C231">
        <v>2</v>
      </c>
      <c r="E231">
        <v>57219.639000000003</v>
      </c>
      <c r="I231">
        <v>100</v>
      </c>
    </row>
    <row r="232" spans="1:9">
      <c r="A232" t="s">
        <v>434</v>
      </c>
      <c r="B232" t="s">
        <v>425</v>
      </c>
      <c r="C232">
        <v>6</v>
      </c>
      <c r="E232">
        <v>57222.735999999997</v>
      </c>
      <c r="I232">
        <v>100</v>
      </c>
    </row>
    <row r="233" spans="1:9">
      <c r="A233" t="s">
        <v>434</v>
      </c>
      <c r="B233" t="s">
        <v>425</v>
      </c>
      <c r="C233">
        <v>7</v>
      </c>
      <c r="E233">
        <v>57222.739000000001</v>
      </c>
      <c r="I233">
        <v>100</v>
      </c>
    </row>
    <row r="234" spans="1:9">
      <c r="A234" t="s">
        <v>434</v>
      </c>
      <c r="B234" t="s">
        <v>319</v>
      </c>
      <c r="C234">
        <v>2</v>
      </c>
      <c r="E234">
        <v>57223.409</v>
      </c>
      <c r="I234">
        <v>100</v>
      </c>
    </row>
    <row r="235" spans="1:9">
      <c r="A235" t="s">
        <v>434</v>
      </c>
      <c r="B235" t="s">
        <v>319</v>
      </c>
      <c r="C235">
        <v>3</v>
      </c>
      <c r="E235">
        <v>57223.411999999997</v>
      </c>
      <c r="I235">
        <v>100</v>
      </c>
    </row>
    <row r="236" spans="1:9">
      <c r="A236" t="s">
        <v>434</v>
      </c>
      <c r="B236" t="s">
        <v>363</v>
      </c>
      <c r="C236">
        <v>3</v>
      </c>
      <c r="E236">
        <v>57227.182999999997</v>
      </c>
      <c r="I236">
        <v>100</v>
      </c>
    </row>
    <row r="237" spans="1:9">
      <c r="A237" t="s">
        <v>434</v>
      </c>
      <c r="B237" t="s">
        <v>363</v>
      </c>
      <c r="C237">
        <v>4</v>
      </c>
      <c r="E237">
        <v>57227.186999999998</v>
      </c>
      <c r="I237">
        <v>100</v>
      </c>
    </row>
    <row r="238" spans="1:9">
      <c r="A238" t="s">
        <v>434</v>
      </c>
      <c r="B238" t="s">
        <v>428</v>
      </c>
      <c r="C238">
        <v>6</v>
      </c>
      <c r="E238">
        <v>57228.794999999998</v>
      </c>
      <c r="I238">
        <v>100</v>
      </c>
    </row>
    <row r="239" spans="1:9">
      <c r="A239" t="s">
        <v>434</v>
      </c>
      <c r="B239" t="s">
        <v>428</v>
      </c>
      <c r="C239">
        <v>5</v>
      </c>
      <c r="E239">
        <v>57228.798999999999</v>
      </c>
      <c r="I239">
        <v>100</v>
      </c>
    </row>
    <row r="240" spans="1:9">
      <c r="A240" t="s">
        <v>434</v>
      </c>
      <c r="B240" t="s">
        <v>361</v>
      </c>
      <c r="C240">
        <v>5</v>
      </c>
      <c r="E240">
        <v>57229.555999999997</v>
      </c>
      <c r="I240">
        <v>100</v>
      </c>
    </row>
    <row r="241" spans="1:9">
      <c r="A241" t="s">
        <v>434</v>
      </c>
      <c r="B241" t="s">
        <v>361</v>
      </c>
      <c r="C241">
        <v>4</v>
      </c>
      <c r="E241">
        <v>57229.559000000001</v>
      </c>
      <c r="I241">
        <v>100</v>
      </c>
    </row>
    <row r="242" spans="1:9">
      <c r="A242" t="s">
        <v>399</v>
      </c>
      <c r="B242" t="s">
        <v>293</v>
      </c>
      <c r="C242">
        <v>5</v>
      </c>
      <c r="E242">
        <v>57251.870999999999</v>
      </c>
      <c r="I242" t="s">
        <v>435</v>
      </c>
    </row>
    <row r="243" spans="1:9">
      <c r="A243" t="s">
        <v>399</v>
      </c>
      <c r="B243" t="s">
        <v>293</v>
      </c>
      <c r="C243">
        <v>4</v>
      </c>
      <c r="E243">
        <v>58135.368999999999</v>
      </c>
      <c r="I243" t="s">
        <v>436</v>
      </c>
    </row>
    <row r="244" spans="1:9">
      <c r="A244" t="s">
        <v>437</v>
      </c>
      <c r="B244" t="s">
        <v>337</v>
      </c>
      <c r="C244">
        <v>1</v>
      </c>
      <c r="E244">
        <v>57481.932000000001</v>
      </c>
      <c r="I244">
        <v>98</v>
      </c>
    </row>
    <row r="245" spans="1:9">
      <c r="A245" t="s">
        <v>437</v>
      </c>
      <c r="B245" t="s">
        <v>337</v>
      </c>
      <c r="C245">
        <v>2</v>
      </c>
      <c r="E245">
        <v>57505.046000000002</v>
      </c>
      <c r="I245">
        <v>99</v>
      </c>
    </row>
    <row r="246" spans="1:9">
      <c r="A246" t="s">
        <v>399</v>
      </c>
      <c r="B246" t="s">
        <v>283</v>
      </c>
      <c r="C246">
        <v>4</v>
      </c>
      <c r="E246">
        <v>57504.186000000002</v>
      </c>
      <c r="I246" t="s">
        <v>438</v>
      </c>
    </row>
    <row r="247" spans="1:9">
      <c r="A247" t="s">
        <v>399</v>
      </c>
      <c r="B247" t="s">
        <v>283</v>
      </c>
      <c r="C247">
        <v>3</v>
      </c>
      <c r="E247">
        <v>58535.654999999999</v>
      </c>
      <c r="I247" t="s">
        <v>439</v>
      </c>
    </row>
    <row r="248" spans="1:9">
      <c r="A248" t="s">
        <v>440</v>
      </c>
      <c r="B248" t="s">
        <v>282</v>
      </c>
      <c r="C248">
        <v>2</v>
      </c>
      <c r="E248">
        <v>57552.078999999998</v>
      </c>
      <c r="I248" t="s">
        <v>441</v>
      </c>
    </row>
    <row r="249" spans="1:9">
      <c r="A249" t="s">
        <v>442</v>
      </c>
      <c r="B249" t="s">
        <v>428</v>
      </c>
      <c r="C249">
        <v>5</v>
      </c>
      <c r="E249">
        <v>57677.574999999997</v>
      </c>
      <c r="I249">
        <v>91</v>
      </c>
    </row>
    <row r="250" spans="1:9">
      <c r="A250" t="s">
        <v>442</v>
      </c>
      <c r="B250" t="s">
        <v>428</v>
      </c>
      <c r="C250">
        <v>6</v>
      </c>
      <c r="E250">
        <v>57762.038999999997</v>
      </c>
      <c r="I250">
        <v>95</v>
      </c>
    </row>
    <row r="251" spans="1:9">
      <c r="A251" t="s">
        <v>442</v>
      </c>
      <c r="B251" t="s">
        <v>337</v>
      </c>
      <c r="C251">
        <v>2</v>
      </c>
      <c r="E251">
        <v>57700.59</v>
      </c>
      <c r="I251" t="s">
        <v>443</v>
      </c>
    </row>
    <row r="252" spans="1:9">
      <c r="A252" t="s">
        <v>442</v>
      </c>
      <c r="B252" t="s">
        <v>337</v>
      </c>
      <c r="C252">
        <v>1</v>
      </c>
      <c r="E252">
        <v>57767.466999999997</v>
      </c>
      <c r="I252">
        <v>90</v>
      </c>
    </row>
    <row r="253" spans="1:9">
      <c r="A253" t="s">
        <v>442</v>
      </c>
      <c r="B253" t="s">
        <v>319</v>
      </c>
      <c r="C253">
        <v>3</v>
      </c>
      <c r="E253">
        <v>57743.536</v>
      </c>
      <c r="I253" t="s">
        <v>444</v>
      </c>
    </row>
    <row r="254" spans="1:9">
      <c r="A254" t="s">
        <v>442</v>
      </c>
      <c r="B254" t="s">
        <v>319</v>
      </c>
      <c r="C254">
        <v>2</v>
      </c>
      <c r="E254">
        <v>58005.275999999998</v>
      </c>
      <c r="I254" t="s">
        <v>445</v>
      </c>
    </row>
    <row r="255" spans="1:9">
      <c r="A255" t="s">
        <v>442</v>
      </c>
      <c r="B255" t="s">
        <v>361</v>
      </c>
      <c r="C255">
        <v>4</v>
      </c>
      <c r="E255">
        <v>57789.531999999999</v>
      </c>
      <c r="I255" t="s">
        <v>446</v>
      </c>
    </row>
    <row r="256" spans="1:9">
      <c r="A256" t="s">
        <v>442</v>
      </c>
      <c r="B256" t="s">
        <v>361</v>
      </c>
      <c r="C256">
        <v>5</v>
      </c>
      <c r="E256">
        <v>57829.332000000002</v>
      </c>
      <c r="I256">
        <v>91</v>
      </c>
    </row>
    <row r="257" spans="1:9">
      <c r="A257" t="s">
        <v>442</v>
      </c>
      <c r="B257" t="s">
        <v>363</v>
      </c>
      <c r="C257">
        <v>4</v>
      </c>
      <c r="E257">
        <v>57810.438000000002</v>
      </c>
      <c r="I257" t="s">
        <v>447</v>
      </c>
    </row>
    <row r="258" spans="1:9">
      <c r="A258" t="s">
        <v>442</v>
      </c>
      <c r="B258" t="s">
        <v>363</v>
      </c>
      <c r="C258">
        <v>3</v>
      </c>
      <c r="E258">
        <v>58039.485999999997</v>
      </c>
      <c r="I258" t="s">
        <v>448</v>
      </c>
    </row>
    <row r="259" spans="1:9">
      <c r="A259" t="s">
        <v>449</v>
      </c>
      <c r="B259" t="s">
        <v>358</v>
      </c>
      <c r="C259">
        <v>0</v>
      </c>
      <c r="E259">
        <v>58448.76</v>
      </c>
      <c r="I259">
        <v>94</v>
      </c>
    </row>
    <row r="260" spans="1:9">
      <c r="A260" t="s">
        <v>449</v>
      </c>
      <c r="B260" t="s">
        <v>358</v>
      </c>
      <c r="C260">
        <v>1</v>
      </c>
      <c r="E260">
        <v>58525.451000000001</v>
      </c>
      <c r="I260" t="s">
        <v>450</v>
      </c>
    </row>
    <row r="261" spans="1:9">
      <c r="A261" t="s">
        <v>449</v>
      </c>
      <c r="B261" t="s">
        <v>361</v>
      </c>
      <c r="C261">
        <v>4</v>
      </c>
      <c r="E261">
        <v>58518.114000000001</v>
      </c>
      <c r="I261" t="s">
        <v>451</v>
      </c>
    </row>
    <row r="262" spans="1:9">
      <c r="A262" t="s">
        <v>449</v>
      </c>
      <c r="B262" t="s">
        <v>361</v>
      </c>
      <c r="C262">
        <v>5</v>
      </c>
      <c r="E262">
        <v>58520.862999999998</v>
      </c>
      <c r="I262">
        <v>95</v>
      </c>
    </row>
    <row r="263" spans="1:9">
      <c r="A263" t="s">
        <v>449</v>
      </c>
      <c r="B263" t="s">
        <v>363</v>
      </c>
      <c r="C263">
        <v>4</v>
      </c>
      <c r="E263">
        <v>58579.786999999997</v>
      </c>
      <c r="I263" t="s">
        <v>452</v>
      </c>
    </row>
    <row r="264" spans="1:9">
      <c r="A264" t="s">
        <v>449</v>
      </c>
      <c r="B264" t="s">
        <v>363</v>
      </c>
      <c r="C264">
        <v>3</v>
      </c>
      <c r="E264">
        <v>58629.464999999997</v>
      </c>
      <c r="I264" t="s">
        <v>453</v>
      </c>
    </row>
    <row r="265" spans="1:9">
      <c r="A265" t="s">
        <v>449</v>
      </c>
      <c r="B265" t="s">
        <v>319</v>
      </c>
      <c r="C265">
        <v>3</v>
      </c>
      <c r="E265">
        <v>58588.110999999997</v>
      </c>
      <c r="I265" t="s">
        <v>454</v>
      </c>
    </row>
    <row r="266" spans="1:9">
      <c r="A266" t="s">
        <v>449</v>
      </c>
      <c r="B266" t="s">
        <v>319</v>
      </c>
      <c r="C266">
        <v>2</v>
      </c>
      <c r="E266">
        <v>58629.853999999999</v>
      </c>
      <c r="I266">
        <v>92</v>
      </c>
    </row>
    <row r="267" spans="1:9">
      <c r="A267" t="s">
        <v>455</v>
      </c>
      <c r="B267" t="s">
        <v>397</v>
      </c>
      <c r="C267">
        <v>5</v>
      </c>
      <c r="E267">
        <v>58713.934999999998</v>
      </c>
      <c r="I267">
        <v>100</v>
      </c>
    </row>
    <row r="268" spans="1:9">
      <c r="A268" t="s">
        <v>455</v>
      </c>
      <c r="B268" t="s">
        <v>397</v>
      </c>
      <c r="C268">
        <v>4</v>
      </c>
      <c r="E268">
        <v>58714.254000000001</v>
      </c>
      <c r="I268">
        <v>100</v>
      </c>
    </row>
    <row r="269" spans="1:9">
      <c r="A269" t="s">
        <v>456</v>
      </c>
      <c r="B269" t="s">
        <v>319</v>
      </c>
      <c r="C269">
        <v>2</v>
      </c>
      <c r="E269">
        <v>58728.538999999997</v>
      </c>
      <c r="I269">
        <v>100</v>
      </c>
    </row>
    <row r="270" spans="1:9">
      <c r="A270" t="s">
        <v>456</v>
      </c>
      <c r="B270" t="s">
        <v>319</v>
      </c>
      <c r="C270">
        <v>3</v>
      </c>
      <c r="E270">
        <v>58728.563000000002</v>
      </c>
      <c r="I270">
        <v>100</v>
      </c>
    </row>
    <row r="271" spans="1:9">
      <c r="A271" t="s">
        <v>456</v>
      </c>
      <c r="B271" t="s">
        <v>428</v>
      </c>
      <c r="C271">
        <v>5</v>
      </c>
      <c r="E271">
        <v>58730.673000000003</v>
      </c>
      <c r="I271">
        <v>100</v>
      </c>
    </row>
    <row r="272" spans="1:9">
      <c r="A272" t="s">
        <v>456</v>
      </c>
      <c r="B272" t="s">
        <v>428</v>
      </c>
      <c r="C272">
        <v>6</v>
      </c>
      <c r="E272">
        <v>58730.678</v>
      </c>
      <c r="I272">
        <v>100</v>
      </c>
    </row>
    <row r="273" spans="1:10">
      <c r="A273" t="s">
        <v>456</v>
      </c>
      <c r="B273" t="s">
        <v>363</v>
      </c>
      <c r="C273">
        <v>4</v>
      </c>
      <c r="E273">
        <v>58734.565999999999</v>
      </c>
      <c r="I273">
        <v>100</v>
      </c>
    </row>
    <row r="274" spans="1:10">
      <c r="A274" t="s">
        <v>456</v>
      </c>
      <c r="B274" t="s">
        <v>363</v>
      </c>
      <c r="C274">
        <v>3</v>
      </c>
      <c r="E274">
        <v>58734.572</v>
      </c>
      <c r="I274">
        <v>100</v>
      </c>
    </row>
    <row r="275" spans="1:10">
      <c r="A275" t="s">
        <v>456</v>
      </c>
      <c r="B275" t="s">
        <v>361</v>
      </c>
      <c r="C275">
        <v>5</v>
      </c>
      <c r="E275">
        <v>58736.620999999999</v>
      </c>
      <c r="I275">
        <v>100</v>
      </c>
    </row>
    <row r="276" spans="1:10">
      <c r="A276" t="s">
        <v>456</v>
      </c>
      <c r="B276" t="s">
        <v>361</v>
      </c>
      <c r="C276">
        <v>4</v>
      </c>
      <c r="E276">
        <v>58736.718999999997</v>
      </c>
      <c r="I276">
        <v>100</v>
      </c>
    </row>
    <row r="277" spans="1:10">
      <c r="A277" t="s">
        <v>421</v>
      </c>
      <c r="B277" t="s">
        <v>303</v>
      </c>
      <c r="C277">
        <v>1</v>
      </c>
      <c r="E277">
        <v>58866.610999999997</v>
      </c>
      <c r="I277" t="s">
        <v>457</v>
      </c>
    </row>
    <row r="278" spans="1:10">
      <c r="A278" t="s">
        <v>440</v>
      </c>
      <c r="B278" t="s">
        <v>287</v>
      </c>
      <c r="C278">
        <v>3</v>
      </c>
      <c r="E278">
        <v>58896.228999999999</v>
      </c>
      <c r="I278" t="s">
        <v>458</v>
      </c>
    </row>
    <row r="279" spans="1:10">
      <c r="A279" t="s">
        <v>440</v>
      </c>
      <c r="B279" t="s">
        <v>287</v>
      </c>
      <c r="C279">
        <v>2</v>
      </c>
      <c r="E279">
        <v>59045.031999999999</v>
      </c>
      <c r="I279" t="s">
        <v>459</v>
      </c>
    </row>
    <row r="280" spans="1:10">
      <c r="A280" t="s">
        <v>440</v>
      </c>
      <c r="B280" t="s">
        <v>287</v>
      </c>
      <c r="C280">
        <v>1</v>
      </c>
      <c r="E280">
        <v>59077.788999999997</v>
      </c>
      <c r="I280">
        <v>78</v>
      </c>
    </row>
    <row r="281" spans="1:10">
      <c r="A281" t="s">
        <v>460</v>
      </c>
      <c r="B281" t="s">
        <v>319</v>
      </c>
      <c r="C281">
        <v>2</v>
      </c>
      <c r="E281">
        <v>59007.955000000002</v>
      </c>
      <c r="I281" t="s">
        <v>461</v>
      </c>
    </row>
    <row r="282" spans="1:10">
      <c r="A282" t="s">
        <v>460</v>
      </c>
      <c r="B282" t="s">
        <v>363</v>
      </c>
      <c r="C282">
        <v>4</v>
      </c>
      <c r="E282">
        <v>59039.633000000002</v>
      </c>
      <c r="I282">
        <v>92</v>
      </c>
    </row>
    <row r="283" spans="1:10">
      <c r="A283" t="s">
        <v>460</v>
      </c>
      <c r="B283" t="s">
        <v>363</v>
      </c>
      <c r="C283">
        <v>3</v>
      </c>
      <c r="E283">
        <v>59188.720999999998</v>
      </c>
      <c r="I283" t="s">
        <v>462</v>
      </c>
    </row>
    <row r="284" spans="1:10">
      <c r="A284" t="s">
        <v>460</v>
      </c>
      <c r="B284" t="s">
        <v>337</v>
      </c>
      <c r="C284">
        <v>2</v>
      </c>
      <c r="E284">
        <v>59117.983999999997</v>
      </c>
      <c r="I284" t="s">
        <v>463</v>
      </c>
    </row>
    <row r="285" spans="1:10">
      <c r="A285" t="s">
        <v>460</v>
      </c>
      <c r="B285" t="s">
        <v>337</v>
      </c>
      <c r="C285">
        <v>1</v>
      </c>
      <c r="E285">
        <v>59221.243999999999</v>
      </c>
      <c r="I285" t="s">
        <v>464</v>
      </c>
    </row>
    <row r="286" spans="1:10">
      <c r="A286" t="s">
        <v>465</v>
      </c>
      <c r="B286" t="s">
        <v>346</v>
      </c>
      <c r="C286">
        <v>5</v>
      </c>
      <c r="E286">
        <v>59862.610999999997</v>
      </c>
      <c r="I286" t="s">
        <v>368</v>
      </c>
    </row>
    <row r="287" spans="1:10">
      <c r="A287" t="s">
        <v>466</v>
      </c>
      <c r="B287" t="s">
        <v>202</v>
      </c>
      <c r="C287" t="s">
        <v>203</v>
      </c>
      <c r="E287">
        <v>61619.77</v>
      </c>
      <c r="G287">
        <v>0.14000000000000001</v>
      </c>
      <c r="I287" t="s">
        <v>368</v>
      </c>
      <c r="J287" t="s">
        <v>467</v>
      </c>
    </row>
    <row r="288" spans="1:10">
      <c r="A288" t="s">
        <v>468</v>
      </c>
      <c r="B288" t="s">
        <v>469</v>
      </c>
      <c r="C288">
        <v>7</v>
      </c>
      <c r="E288">
        <v>62782.512000000002</v>
      </c>
      <c r="I288" t="s">
        <v>368</v>
      </c>
    </row>
    <row r="289" spans="1:9">
      <c r="A289" t="s">
        <v>468</v>
      </c>
      <c r="B289" t="s">
        <v>470</v>
      </c>
      <c r="C289">
        <v>6</v>
      </c>
      <c r="E289">
        <v>62807.896000000001</v>
      </c>
      <c r="I289" t="s">
        <v>368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BFCA-0E6B-4939-9C1E-74DBCA9B6D5C}">
  <dimension ref="A1:J366"/>
  <sheetViews>
    <sheetView workbookViewId="0">
      <selection sqref="A1:J1048576"/>
    </sheetView>
  </sheetViews>
  <sheetFormatPr defaultRowHeight="15"/>
  <cols>
    <col min="1" max="1" width="22.85546875" bestFit="1" customWidth="1"/>
    <col min="2" max="2" width="7.85546875" bestFit="1" customWidth="1"/>
    <col min="3" max="3" width="8.28515625" bestFit="1" customWidth="1"/>
    <col min="4" max="4" width="6.28515625" bestFit="1" customWidth="1"/>
    <col min="5" max="5" width="11.85546875" bestFit="1" customWidth="1"/>
    <col min="6" max="6" width="6.140625" bestFit="1" customWidth="1"/>
    <col min="7" max="7" width="17.7109375" bestFit="1" customWidth="1"/>
    <col min="8" max="8" width="6.28515625" bestFit="1" customWidth="1"/>
    <col min="9" max="9" width="39.7109375" bestFit="1" customWidth="1"/>
    <col min="10" max="10" width="17.4257812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2717</v>
      </c>
      <c r="B2" t="s">
        <v>206</v>
      </c>
      <c r="C2" s="2" t="s">
        <v>248</v>
      </c>
      <c r="E2">
        <v>0</v>
      </c>
      <c r="G2">
        <v>0</v>
      </c>
      <c r="H2">
        <v>2</v>
      </c>
      <c r="I2" t="s">
        <v>2718</v>
      </c>
      <c r="J2" t="s">
        <v>2719</v>
      </c>
    </row>
    <row r="3" spans="1:10">
      <c r="A3" t="s">
        <v>2720</v>
      </c>
      <c r="B3" t="s">
        <v>209</v>
      </c>
      <c r="C3" s="2" t="s">
        <v>249</v>
      </c>
      <c r="E3">
        <v>11202.618</v>
      </c>
      <c r="G3">
        <v>2.1999999999999999E-2</v>
      </c>
      <c r="H3">
        <v>1.23</v>
      </c>
      <c r="I3" t="s">
        <v>2718</v>
      </c>
      <c r="J3" t="s">
        <v>2721</v>
      </c>
    </row>
    <row r="4" spans="1:10">
      <c r="A4" t="s">
        <v>2720</v>
      </c>
      <c r="B4" t="s">
        <v>209</v>
      </c>
      <c r="C4" s="2" t="s">
        <v>250</v>
      </c>
      <c r="E4">
        <v>13245.442999999999</v>
      </c>
      <c r="G4">
        <v>1.9E-2</v>
      </c>
      <c r="H4">
        <v>0.8</v>
      </c>
      <c r="I4" t="s">
        <v>2718</v>
      </c>
      <c r="J4" t="s">
        <v>2721</v>
      </c>
    </row>
    <row r="5" spans="1:10">
      <c r="A5" t="s">
        <v>2722</v>
      </c>
      <c r="B5" t="s">
        <v>211</v>
      </c>
      <c r="C5" s="2" t="s">
        <v>248</v>
      </c>
      <c r="E5">
        <v>30535.324000000001</v>
      </c>
      <c r="G5">
        <v>1.9E-2</v>
      </c>
      <c r="H5">
        <v>0.68</v>
      </c>
      <c r="I5" t="s">
        <v>2723</v>
      </c>
      <c r="J5" t="s">
        <v>2721</v>
      </c>
    </row>
    <row r="6" spans="1:10">
      <c r="A6" t="s">
        <v>2722</v>
      </c>
      <c r="B6" t="s">
        <v>211</v>
      </c>
      <c r="C6" s="2" t="s">
        <v>250</v>
      </c>
      <c r="E6">
        <v>30783.697</v>
      </c>
      <c r="G6">
        <v>1.7999999999999999E-2</v>
      </c>
      <c r="H6">
        <v>1.33</v>
      </c>
      <c r="I6" t="s">
        <v>2723</v>
      </c>
      <c r="J6" t="s">
        <v>2721</v>
      </c>
    </row>
    <row r="7" spans="1:10">
      <c r="A7" t="s">
        <v>2724</v>
      </c>
      <c r="B7" t="s">
        <v>213</v>
      </c>
      <c r="C7" s="2" t="s">
        <v>249</v>
      </c>
      <c r="E7">
        <v>39018.69</v>
      </c>
      <c r="G7">
        <v>0.03</v>
      </c>
      <c r="H7">
        <v>1.6</v>
      </c>
      <c r="I7">
        <v>98</v>
      </c>
      <c r="J7" t="s">
        <v>2721</v>
      </c>
    </row>
    <row r="8" spans="1:10">
      <c r="A8" t="s">
        <v>2724</v>
      </c>
      <c r="B8" t="s">
        <v>213</v>
      </c>
      <c r="C8" s="2" t="s">
        <v>250</v>
      </c>
      <c r="E8">
        <v>40114.01</v>
      </c>
      <c r="G8">
        <v>0.03</v>
      </c>
      <c r="H8">
        <v>1.75</v>
      </c>
      <c r="I8">
        <v>96</v>
      </c>
      <c r="J8" t="s">
        <v>2721</v>
      </c>
    </row>
    <row r="9" spans="1:10">
      <c r="A9" t="s">
        <v>2724</v>
      </c>
      <c r="B9" t="s">
        <v>213</v>
      </c>
      <c r="C9" s="2" t="s">
        <v>248</v>
      </c>
      <c r="E9">
        <v>40943.78</v>
      </c>
      <c r="G9">
        <v>0.03</v>
      </c>
      <c r="H9">
        <v>2.62</v>
      </c>
      <c r="I9">
        <v>97</v>
      </c>
      <c r="J9" t="s">
        <v>2721</v>
      </c>
    </row>
    <row r="10" spans="1:10">
      <c r="A10" t="s">
        <v>2724</v>
      </c>
      <c r="B10" t="s">
        <v>214</v>
      </c>
      <c r="C10" s="2" t="s">
        <v>252</v>
      </c>
      <c r="E10">
        <v>40909.160000000003</v>
      </c>
      <c r="G10">
        <v>0.05</v>
      </c>
      <c r="H10">
        <v>1.3340000000000001</v>
      </c>
      <c r="I10">
        <v>100</v>
      </c>
      <c r="J10" t="s">
        <v>2721</v>
      </c>
    </row>
    <row r="11" spans="1:10">
      <c r="A11" t="s">
        <v>2724</v>
      </c>
      <c r="B11" t="s">
        <v>214</v>
      </c>
      <c r="C11" s="2" t="s">
        <v>251</v>
      </c>
      <c r="E11">
        <v>41153.47</v>
      </c>
      <c r="G11">
        <v>0.03</v>
      </c>
      <c r="H11">
        <v>1.26</v>
      </c>
      <c r="I11" t="s">
        <v>2725</v>
      </c>
      <c r="J11" t="s">
        <v>2721</v>
      </c>
    </row>
    <row r="12" spans="1:10">
      <c r="A12" t="s">
        <v>2724</v>
      </c>
      <c r="B12" t="s">
        <v>214</v>
      </c>
      <c r="C12" s="2" t="s">
        <v>249</v>
      </c>
      <c r="E12">
        <v>41562.93</v>
      </c>
      <c r="G12">
        <v>0.03</v>
      </c>
      <c r="I12" t="s">
        <v>2726</v>
      </c>
      <c r="J12" t="s">
        <v>2721</v>
      </c>
    </row>
    <row r="13" spans="1:10">
      <c r="A13" t="s">
        <v>2724</v>
      </c>
      <c r="B13" t="s">
        <v>214</v>
      </c>
      <c r="C13" s="2" t="s">
        <v>250</v>
      </c>
      <c r="E13">
        <v>42302.58</v>
      </c>
      <c r="G13">
        <v>0.03</v>
      </c>
      <c r="H13">
        <v>0.44</v>
      </c>
      <c r="I13">
        <v>95</v>
      </c>
      <c r="J13" t="s">
        <v>2721</v>
      </c>
    </row>
    <row r="14" spans="1:10">
      <c r="A14" t="s">
        <v>2727</v>
      </c>
      <c r="B14" t="s">
        <v>206</v>
      </c>
      <c r="C14" s="2" t="s">
        <v>248</v>
      </c>
      <c r="E14">
        <v>43137.228999999999</v>
      </c>
      <c r="G14">
        <v>1.7000000000000001E-2</v>
      </c>
      <c r="I14" t="s">
        <v>2718</v>
      </c>
      <c r="J14" t="s">
        <v>2728</v>
      </c>
    </row>
    <row r="15" spans="1:10">
      <c r="A15" t="s">
        <v>2724</v>
      </c>
      <c r="B15" t="s">
        <v>216</v>
      </c>
      <c r="C15" s="2" t="s">
        <v>251</v>
      </c>
      <c r="E15">
        <v>43514.01</v>
      </c>
      <c r="G15">
        <v>0.03</v>
      </c>
      <c r="H15">
        <v>1.45</v>
      </c>
      <c r="I15" t="s">
        <v>2729</v>
      </c>
      <c r="J15" t="s">
        <v>2721</v>
      </c>
    </row>
    <row r="16" spans="1:10">
      <c r="A16" t="s">
        <v>2724</v>
      </c>
      <c r="B16" t="s">
        <v>216</v>
      </c>
      <c r="C16" s="2" t="s">
        <v>249</v>
      </c>
      <c r="E16">
        <v>44406.32</v>
      </c>
      <c r="G16">
        <v>0.03</v>
      </c>
      <c r="H16">
        <v>1.43</v>
      </c>
      <c r="I16" t="s">
        <v>2730</v>
      </c>
      <c r="J16" t="s">
        <v>2721</v>
      </c>
    </row>
    <row r="17" spans="1:10">
      <c r="A17" t="s">
        <v>2724</v>
      </c>
      <c r="B17" t="s">
        <v>216</v>
      </c>
      <c r="C17" s="2" t="s">
        <v>250</v>
      </c>
      <c r="E17">
        <v>44544.160000000003</v>
      </c>
      <c r="G17">
        <v>0.03</v>
      </c>
      <c r="H17">
        <v>1.0900000000000001</v>
      </c>
      <c r="I17" t="s">
        <v>2731</v>
      </c>
      <c r="J17" t="s">
        <v>2721</v>
      </c>
    </row>
    <row r="18" spans="1:10">
      <c r="A18" t="s">
        <v>2724</v>
      </c>
      <c r="B18" t="s">
        <v>216</v>
      </c>
      <c r="C18" s="2" t="s">
        <v>248</v>
      </c>
      <c r="E18">
        <v>44915.68</v>
      </c>
      <c r="G18">
        <v>0.04</v>
      </c>
      <c r="H18">
        <v>0</v>
      </c>
      <c r="I18" t="s">
        <v>2732</v>
      </c>
      <c r="J18" t="s">
        <v>2721</v>
      </c>
    </row>
    <row r="19" spans="1:10">
      <c r="A19" t="s">
        <v>2724</v>
      </c>
      <c r="B19" t="s">
        <v>219</v>
      </c>
      <c r="C19" s="2" t="s">
        <v>249</v>
      </c>
      <c r="E19">
        <v>43726.239999999998</v>
      </c>
      <c r="G19">
        <v>0.03</v>
      </c>
      <c r="I19" t="s">
        <v>2733</v>
      </c>
      <c r="J19" t="s">
        <v>2721</v>
      </c>
    </row>
    <row r="20" spans="1:10">
      <c r="A20" t="s">
        <v>2724</v>
      </c>
      <c r="B20" t="s">
        <v>219</v>
      </c>
      <c r="C20" s="2" t="s">
        <v>251</v>
      </c>
      <c r="E20">
        <v>44963.26</v>
      </c>
      <c r="G20">
        <v>0.03</v>
      </c>
      <c r="H20">
        <v>1.22</v>
      </c>
      <c r="I20" t="s">
        <v>2734</v>
      </c>
      <c r="J20" t="s">
        <v>2721</v>
      </c>
    </row>
    <row r="21" spans="1:10">
      <c r="A21" t="s">
        <v>2724</v>
      </c>
      <c r="B21" t="s">
        <v>211</v>
      </c>
      <c r="C21" s="2" t="s">
        <v>248</v>
      </c>
      <c r="E21">
        <v>45820.94</v>
      </c>
      <c r="G21">
        <v>0.03</v>
      </c>
      <c r="I21" t="s">
        <v>2735</v>
      </c>
      <c r="J21" t="s">
        <v>2721</v>
      </c>
    </row>
    <row r="22" spans="1:10">
      <c r="A22" t="s">
        <v>2724</v>
      </c>
      <c r="B22" t="s">
        <v>211</v>
      </c>
      <c r="C22" s="2" t="s">
        <v>250</v>
      </c>
      <c r="E22">
        <v>45879.32</v>
      </c>
      <c r="G22">
        <v>0.03</v>
      </c>
      <c r="H22">
        <v>1.22</v>
      </c>
      <c r="I22" t="s">
        <v>2736</v>
      </c>
      <c r="J22" t="s">
        <v>2721</v>
      </c>
    </row>
    <row r="23" spans="1:10">
      <c r="A23" t="s">
        <v>2724</v>
      </c>
      <c r="B23" t="s">
        <v>291</v>
      </c>
      <c r="C23" s="2" t="s">
        <v>250</v>
      </c>
      <c r="E23">
        <v>46172.89</v>
      </c>
      <c r="G23">
        <v>0.03</v>
      </c>
      <c r="H23">
        <v>0.69</v>
      </c>
      <c r="I23" t="s">
        <v>2737</v>
      </c>
      <c r="J23" t="s">
        <v>2721</v>
      </c>
    </row>
    <row r="24" spans="1:10">
      <c r="A24" t="s">
        <v>2724</v>
      </c>
      <c r="B24" t="s">
        <v>218</v>
      </c>
      <c r="C24" s="2" t="s">
        <v>249</v>
      </c>
      <c r="E24">
        <v>46598.35</v>
      </c>
      <c r="G24">
        <v>0.03</v>
      </c>
      <c r="H24">
        <v>1.22</v>
      </c>
      <c r="I24" t="s">
        <v>2738</v>
      </c>
      <c r="J24" t="s">
        <v>2721</v>
      </c>
    </row>
    <row r="25" spans="1:10">
      <c r="A25" t="s">
        <v>2739</v>
      </c>
      <c r="B25" t="s">
        <v>211</v>
      </c>
      <c r="C25" s="2" t="s">
        <v>250</v>
      </c>
      <c r="E25">
        <v>49382.945</v>
      </c>
      <c r="G25">
        <v>1.7000000000000001E-2</v>
      </c>
      <c r="I25" t="s">
        <v>2718</v>
      </c>
      <c r="J25" t="s">
        <v>2728</v>
      </c>
    </row>
    <row r="26" spans="1:10">
      <c r="A26" t="s">
        <v>2739</v>
      </c>
      <c r="B26" t="s">
        <v>211</v>
      </c>
      <c r="C26" s="2" t="s">
        <v>248</v>
      </c>
      <c r="E26">
        <v>49383.264000000003</v>
      </c>
      <c r="G26">
        <v>7.0000000000000001E-3</v>
      </c>
      <c r="I26" t="s">
        <v>2718</v>
      </c>
      <c r="J26" t="s">
        <v>2728</v>
      </c>
    </row>
    <row r="27" spans="1:10">
      <c r="A27" t="s">
        <v>2740</v>
      </c>
      <c r="B27" t="s">
        <v>209</v>
      </c>
      <c r="C27" s="2" t="s">
        <v>250</v>
      </c>
      <c r="E27">
        <v>49935.195</v>
      </c>
      <c r="G27">
        <v>1.2999999999999999E-2</v>
      </c>
      <c r="H27">
        <v>0.82</v>
      </c>
      <c r="I27" t="s">
        <v>2718</v>
      </c>
      <c r="J27" t="s">
        <v>2741</v>
      </c>
    </row>
    <row r="28" spans="1:10">
      <c r="A28" t="s">
        <v>2740</v>
      </c>
      <c r="B28" t="s">
        <v>209</v>
      </c>
      <c r="C28" s="2" t="s">
        <v>249</v>
      </c>
      <c r="E28">
        <v>49942.050999999999</v>
      </c>
      <c r="G28">
        <v>1.2999999999999999E-2</v>
      </c>
      <c r="H28">
        <v>1.19</v>
      </c>
      <c r="I28" t="s">
        <v>2718</v>
      </c>
      <c r="J28" t="s">
        <v>2741</v>
      </c>
    </row>
    <row r="29" spans="1:10">
      <c r="A29" t="s">
        <v>2742</v>
      </c>
      <c r="B29" t="s">
        <v>206</v>
      </c>
      <c r="C29" s="2" t="s">
        <v>248</v>
      </c>
      <c r="E29">
        <v>52848.750999999997</v>
      </c>
      <c r="G29">
        <v>3.0000000000000001E-3</v>
      </c>
      <c r="H29">
        <v>1.99</v>
      </c>
      <c r="I29" t="s">
        <v>2718</v>
      </c>
      <c r="J29" t="s">
        <v>2741</v>
      </c>
    </row>
    <row r="30" spans="1:10">
      <c r="A30" t="s">
        <v>2743</v>
      </c>
      <c r="B30" t="s">
        <v>211</v>
      </c>
      <c r="C30" s="2" t="s">
        <v>250</v>
      </c>
      <c r="E30">
        <v>54784.065000000002</v>
      </c>
      <c r="G30">
        <v>5.0000000000000001E-3</v>
      </c>
      <c r="I30" t="s">
        <v>2718</v>
      </c>
      <c r="J30" t="s">
        <v>2728</v>
      </c>
    </row>
    <row r="31" spans="1:10">
      <c r="A31" t="s">
        <v>2743</v>
      </c>
      <c r="B31" t="s">
        <v>211</v>
      </c>
      <c r="C31" s="2" t="s">
        <v>248</v>
      </c>
      <c r="E31">
        <v>55027.762000000002</v>
      </c>
      <c r="G31">
        <v>7.0000000000000001E-3</v>
      </c>
      <c r="I31" t="s">
        <v>2718</v>
      </c>
      <c r="J31" t="s">
        <v>2728</v>
      </c>
    </row>
    <row r="32" spans="1:10">
      <c r="A32" t="s">
        <v>2744</v>
      </c>
      <c r="B32" t="s">
        <v>209</v>
      </c>
      <c r="C32" s="2" t="s">
        <v>250</v>
      </c>
      <c r="E32">
        <v>55387.667000000001</v>
      </c>
      <c r="G32">
        <v>5.0000000000000001E-3</v>
      </c>
      <c r="H32">
        <v>0.77</v>
      </c>
      <c r="I32" t="s">
        <v>2718</v>
      </c>
      <c r="J32" t="s">
        <v>2741</v>
      </c>
    </row>
    <row r="33" spans="1:10">
      <c r="A33" t="s">
        <v>2744</v>
      </c>
      <c r="B33" t="s">
        <v>209</v>
      </c>
      <c r="C33" s="2" t="s">
        <v>249</v>
      </c>
      <c r="E33">
        <v>55391.296999999999</v>
      </c>
      <c r="G33">
        <v>5.0000000000000001E-3</v>
      </c>
      <c r="H33">
        <v>1.22</v>
      </c>
      <c r="I33" t="s">
        <v>2718</v>
      </c>
      <c r="J33" t="s">
        <v>2741</v>
      </c>
    </row>
    <row r="34" spans="1:10">
      <c r="A34" t="s">
        <v>2745</v>
      </c>
      <c r="B34" t="s">
        <v>219</v>
      </c>
      <c r="C34" s="2" t="s">
        <v>251</v>
      </c>
      <c r="E34">
        <v>55426.354299999999</v>
      </c>
      <c r="G34">
        <v>1.2999999999999999E-2</v>
      </c>
      <c r="I34" t="s">
        <v>2718</v>
      </c>
      <c r="J34" t="s">
        <v>2728</v>
      </c>
    </row>
    <row r="35" spans="1:10">
      <c r="A35" t="s">
        <v>2745</v>
      </c>
      <c r="B35" t="s">
        <v>219</v>
      </c>
      <c r="C35" s="2" t="s">
        <v>249</v>
      </c>
      <c r="E35">
        <v>55429.319900000002</v>
      </c>
      <c r="G35">
        <v>1.2999999999999999E-2</v>
      </c>
      <c r="I35" t="s">
        <v>2718</v>
      </c>
      <c r="J35" t="s">
        <v>2728</v>
      </c>
    </row>
    <row r="36" spans="1:10">
      <c r="A36" t="s">
        <v>2746</v>
      </c>
      <c r="B36" t="s">
        <v>219</v>
      </c>
      <c r="C36" s="2" t="s">
        <v>251</v>
      </c>
      <c r="E36">
        <v>56029.89</v>
      </c>
      <c r="G36">
        <v>7.0000000000000007E-2</v>
      </c>
      <c r="I36" t="s">
        <v>2747</v>
      </c>
      <c r="J36" t="s">
        <v>2721</v>
      </c>
    </row>
    <row r="37" spans="1:10">
      <c r="A37" t="s">
        <v>2746</v>
      </c>
      <c r="B37" t="s">
        <v>219</v>
      </c>
      <c r="C37" s="2" t="s">
        <v>249</v>
      </c>
      <c r="E37">
        <v>58119.37</v>
      </c>
      <c r="G37">
        <v>7.0000000000000007E-2</v>
      </c>
      <c r="I37" t="s">
        <v>2748</v>
      </c>
      <c r="J37" t="s">
        <v>2721</v>
      </c>
    </row>
    <row r="38" spans="1:10">
      <c r="A38" t="s">
        <v>2746</v>
      </c>
      <c r="B38" t="s">
        <v>211</v>
      </c>
      <c r="C38" s="2" t="s">
        <v>250</v>
      </c>
      <c r="E38">
        <v>56343.62</v>
      </c>
      <c r="G38">
        <v>0.05</v>
      </c>
      <c r="I38" t="s">
        <v>2749</v>
      </c>
      <c r="J38" t="s">
        <v>2721</v>
      </c>
    </row>
    <row r="39" spans="1:10">
      <c r="A39" t="s">
        <v>2746</v>
      </c>
      <c r="B39" t="s">
        <v>211</v>
      </c>
      <c r="C39" s="2" t="s">
        <v>248</v>
      </c>
      <c r="E39">
        <v>58364.66</v>
      </c>
      <c r="G39">
        <v>7.0000000000000007E-2</v>
      </c>
      <c r="I39" t="s">
        <v>2750</v>
      </c>
      <c r="J39" t="s">
        <v>2721</v>
      </c>
    </row>
    <row r="40" spans="1:10">
      <c r="A40" t="s">
        <v>2746</v>
      </c>
      <c r="B40" t="s">
        <v>218</v>
      </c>
      <c r="C40" s="2" t="s">
        <v>249</v>
      </c>
      <c r="E40">
        <v>56651.41</v>
      </c>
      <c r="G40">
        <v>0.04</v>
      </c>
      <c r="H40">
        <v>1.17</v>
      </c>
      <c r="I40" t="s">
        <v>2751</v>
      </c>
      <c r="J40" t="s">
        <v>2721</v>
      </c>
    </row>
    <row r="41" spans="1:10">
      <c r="A41" t="s">
        <v>2746</v>
      </c>
      <c r="B41" t="s">
        <v>218</v>
      </c>
      <c r="C41" s="2" t="s">
        <v>250</v>
      </c>
      <c r="E41">
        <v>58690.91</v>
      </c>
      <c r="G41">
        <v>0.05</v>
      </c>
      <c r="I41" t="s">
        <v>2752</v>
      </c>
      <c r="J41" t="s">
        <v>2721</v>
      </c>
    </row>
    <row r="42" spans="1:10">
      <c r="A42" t="s">
        <v>2753</v>
      </c>
      <c r="B42" t="s">
        <v>206</v>
      </c>
      <c r="C42" s="2" t="s">
        <v>248</v>
      </c>
      <c r="E42">
        <v>56671.377</v>
      </c>
      <c r="G42">
        <v>1.2999999999999999E-2</v>
      </c>
      <c r="I42" t="s">
        <v>2718</v>
      </c>
      <c r="J42" t="s">
        <v>2728</v>
      </c>
    </row>
    <row r="43" spans="1:10">
      <c r="A43" t="s">
        <v>2754</v>
      </c>
      <c r="B43" t="s">
        <v>211</v>
      </c>
      <c r="C43" s="2" t="s">
        <v>248</v>
      </c>
      <c r="E43">
        <v>57419.24</v>
      </c>
      <c r="G43">
        <v>0.05</v>
      </c>
      <c r="I43" t="s">
        <v>2718</v>
      </c>
      <c r="J43" t="s">
        <v>2721</v>
      </c>
    </row>
    <row r="44" spans="1:10">
      <c r="A44" t="s">
        <v>2754</v>
      </c>
      <c r="B44" t="s">
        <v>211</v>
      </c>
      <c r="C44" s="2" t="s">
        <v>250</v>
      </c>
      <c r="E44">
        <v>57948.567999999999</v>
      </c>
      <c r="G44">
        <v>1.7000000000000001E-2</v>
      </c>
      <c r="I44" t="s">
        <v>2718</v>
      </c>
      <c r="J44" t="s">
        <v>2728</v>
      </c>
    </row>
    <row r="45" spans="1:10">
      <c r="A45" t="s">
        <v>2755</v>
      </c>
      <c r="B45" t="s">
        <v>209</v>
      </c>
      <c r="C45" s="2" t="s">
        <v>250</v>
      </c>
      <c r="E45">
        <v>57892.995000000003</v>
      </c>
      <c r="G45">
        <v>8.0000000000000002E-3</v>
      </c>
      <c r="I45" t="s">
        <v>2718</v>
      </c>
      <c r="J45" t="s">
        <v>2728</v>
      </c>
    </row>
    <row r="46" spans="1:10">
      <c r="A46" t="s">
        <v>2755</v>
      </c>
      <c r="B46" t="s">
        <v>209</v>
      </c>
      <c r="C46" s="2" t="s">
        <v>249</v>
      </c>
      <c r="E46">
        <v>57895.023999999998</v>
      </c>
      <c r="G46">
        <v>0.01</v>
      </c>
      <c r="I46" t="s">
        <v>2718</v>
      </c>
      <c r="J46" t="s">
        <v>2728</v>
      </c>
    </row>
    <row r="47" spans="1:10">
      <c r="A47" t="s">
        <v>2756</v>
      </c>
      <c r="B47" t="s">
        <v>219</v>
      </c>
      <c r="C47" s="2" t="s">
        <v>249</v>
      </c>
      <c r="E47">
        <v>57905.116999999998</v>
      </c>
      <c r="G47">
        <v>6.0000000000000001E-3</v>
      </c>
      <c r="I47" t="s">
        <v>2718</v>
      </c>
      <c r="J47" t="s">
        <v>2728</v>
      </c>
    </row>
    <row r="48" spans="1:10">
      <c r="A48" t="s">
        <v>2756</v>
      </c>
      <c r="B48" t="s">
        <v>219</v>
      </c>
      <c r="C48" s="2" t="s">
        <v>251</v>
      </c>
      <c r="E48">
        <v>57912.353000000003</v>
      </c>
      <c r="G48">
        <v>6.0000000000000001E-3</v>
      </c>
      <c r="I48" t="s">
        <v>2718</v>
      </c>
      <c r="J48" t="s">
        <v>2728</v>
      </c>
    </row>
    <row r="49" spans="1:10">
      <c r="A49" t="s">
        <v>2757</v>
      </c>
      <c r="B49" t="s">
        <v>594</v>
      </c>
      <c r="C49" s="2" t="s">
        <v>251</v>
      </c>
      <c r="E49">
        <v>57924.129000000001</v>
      </c>
      <c r="G49">
        <v>1.2999999999999999E-2</v>
      </c>
      <c r="I49" t="s">
        <v>2718</v>
      </c>
      <c r="J49" t="s">
        <v>2728</v>
      </c>
    </row>
    <row r="50" spans="1:10">
      <c r="A50" t="s">
        <v>2757</v>
      </c>
      <c r="B50" t="s">
        <v>594</v>
      </c>
      <c r="C50" s="2" t="s">
        <v>252</v>
      </c>
      <c r="E50">
        <v>57924.129000000001</v>
      </c>
      <c r="G50">
        <v>1.2999999999999999E-2</v>
      </c>
      <c r="I50" t="s">
        <v>2718</v>
      </c>
      <c r="J50" t="s">
        <v>2728</v>
      </c>
    </row>
    <row r="51" spans="1:10">
      <c r="A51" t="s">
        <v>2758</v>
      </c>
      <c r="B51" t="s">
        <v>206</v>
      </c>
      <c r="C51" s="2" t="s">
        <v>248</v>
      </c>
      <c r="E51">
        <v>58568.9</v>
      </c>
      <c r="G51">
        <v>0.11</v>
      </c>
      <c r="I51" t="s">
        <v>2718</v>
      </c>
      <c r="J51" t="s">
        <v>2721</v>
      </c>
    </row>
    <row r="52" spans="1:10">
      <c r="A52" t="s">
        <v>2759</v>
      </c>
      <c r="B52" t="s">
        <v>209</v>
      </c>
      <c r="C52" s="2" t="s">
        <v>250</v>
      </c>
      <c r="E52">
        <v>59249.33</v>
      </c>
      <c r="G52">
        <v>2.1000000000000001E-2</v>
      </c>
      <c r="I52" t="s">
        <v>2718</v>
      </c>
      <c r="J52" t="s">
        <v>2728</v>
      </c>
    </row>
    <row r="53" spans="1:10">
      <c r="A53" t="s">
        <v>2759</v>
      </c>
      <c r="B53" t="s">
        <v>209</v>
      </c>
      <c r="C53" s="2" t="s">
        <v>249</v>
      </c>
      <c r="E53">
        <v>59250.561000000002</v>
      </c>
      <c r="G53">
        <v>1.7999999999999999E-2</v>
      </c>
      <c r="I53" t="s">
        <v>2718</v>
      </c>
      <c r="J53" t="s">
        <v>2728</v>
      </c>
    </row>
    <row r="54" spans="1:10">
      <c r="A54" t="s">
        <v>2760</v>
      </c>
      <c r="B54" t="s">
        <v>219</v>
      </c>
      <c r="C54" s="2" t="s">
        <v>251</v>
      </c>
      <c r="E54">
        <v>59259.362999999998</v>
      </c>
      <c r="G54">
        <v>2.1000000000000001E-2</v>
      </c>
      <c r="I54" t="s">
        <v>2718</v>
      </c>
      <c r="J54" t="s">
        <v>2728</v>
      </c>
    </row>
    <row r="55" spans="1:10">
      <c r="A55" t="s">
        <v>2760</v>
      </c>
      <c r="B55" t="s">
        <v>219</v>
      </c>
      <c r="C55" s="2" t="s">
        <v>249</v>
      </c>
      <c r="E55">
        <v>59259.87</v>
      </c>
      <c r="G55">
        <v>0.02</v>
      </c>
      <c r="I55" t="s">
        <v>2718</v>
      </c>
      <c r="J55" t="s">
        <v>2728</v>
      </c>
    </row>
    <row r="56" spans="1:10">
      <c r="A56" t="s">
        <v>2761</v>
      </c>
      <c r="B56" t="s">
        <v>594</v>
      </c>
      <c r="C56" s="2" t="s">
        <v>252</v>
      </c>
      <c r="E56">
        <v>59266.713000000003</v>
      </c>
      <c r="G56">
        <v>1.2E-2</v>
      </c>
      <c r="I56" t="s">
        <v>2718</v>
      </c>
      <c r="J56" t="s">
        <v>2728</v>
      </c>
    </row>
    <row r="57" spans="1:10">
      <c r="A57" t="s">
        <v>2761</v>
      </c>
      <c r="B57" t="s">
        <v>594</v>
      </c>
      <c r="C57" s="2" t="s">
        <v>251</v>
      </c>
      <c r="E57">
        <v>59266.713000000003</v>
      </c>
      <c r="G57">
        <v>1.2E-2</v>
      </c>
      <c r="I57" t="s">
        <v>2718</v>
      </c>
      <c r="J57" t="s">
        <v>2728</v>
      </c>
    </row>
    <row r="58" spans="1:10">
      <c r="A58" t="s">
        <v>2762</v>
      </c>
      <c r="B58" t="s">
        <v>644</v>
      </c>
      <c r="C58" s="2" t="s">
        <v>2763</v>
      </c>
      <c r="E58">
        <v>59268.42</v>
      </c>
      <c r="G58">
        <v>1.4999999999999999E-2</v>
      </c>
      <c r="I58" t="s">
        <v>2718</v>
      </c>
      <c r="J58" t="s">
        <v>2728</v>
      </c>
    </row>
    <row r="59" spans="1:10">
      <c r="A59" t="s">
        <v>2764</v>
      </c>
      <c r="B59" t="s">
        <v>211</v>
      </c>
      <c r="C59" s="2" t="s">
        <v>250</v>
      </c>
      <c r="E59">
        <v>59274.99</v>
      </c>
      <c r="G59">
        <v>0.05</v>
      </c>
      <c r="I59" t="s">
        <v>2718</v>
      </c>
      <c r="J59" t="s">
        <v>2721</v>
      </c>
    </row>
    <row r="60" spans="1:10">
      <c r="A60" t="s">
        <v>2764</v>
      </c>
      <c r="B60" t="s">
        <v>211</v>
      </c>
      <c r="C60" s="2" t="s">
        <v>248</v>
      </c>
      <c r="E60">
        <v>59322.720000000001</v>
      </c>
      <c r="G60">
        <v>0.06</v>
      </c>
      <c r="I60" t="s">
        <v>2718</v>
      </c>
      <c r="J60" t="s">
        <v>2721</v>
      </c>
    </row>
    <row r="61" spans="1:10">
      <c r="A61" t="s">
        <v>2765</v>
      </c>
      <c r="B61" t="s">
        <v>206</v>
      </c>
      <c r="C61" s="2" t="s">
        <v>248</v>
      </c>
      <c r="E61">
        <v>59647.87</v>
      </c>
      <c r="G61">
        <v>0.12</v>
      </c>
      <c r="I61" t="s">
        <v>2718</v>
      </c>
      <c r="J61" t="s">
        <v>2721</v>
      </c>
    </row>
    <row r="62" spans="1:10">
      <c r="A62" t="s">
        <v>2766</v>
      </c>
      <c r="B62" t="s">
        <v>209</v>
      </c>
      <c r="C62" s="2" t="s">
        <v>250</v>
      </c>
      <c r="E62">
        <v>60065.51</v>
      </c>
      <c r="G62">
        <v>0.15</v>
      </c>
      <c r="I62" t="s">
        <v>2718</v>
      </c>
      <c r="J62" t="s">
        <v>2719</v>
      </c>
    </row>
    <row r="63" spans="1:10">
      <c r="A63" t="s">
        <v>2766</v>
      </c>
      <c r="B63" t="s">
        <v>209</v>
      </c>
      <c r="C63" s="2" t="s">
        <v>249</v>
      </c>
      <c r="E63">
        <v>60066.38</v>
      </c>
      <c r="G63">
        <v>0.13</v>
      </c>
      <c r="I63" t="s">
        <v>2718</v>
      </c>
      <c r="J63" t="s">
        <v>2721</v>
      </c>
    </row>
    <row r="64" spans="1:10">
      <c r="A64" t="s">
        <v>2767</v>
      </c>
      <c r="B64" t="s">
        <v>211</v>
      </c>
      <c r="C64" s="2" t="s">
        <v>250</v>
      </c>
      <c r="E64">
        <v>60070.17</v>
      </c>
      <c r="G64">
        <v>0.05</v>
      </c>
      <c r="I64" t="s">
        <v>2718</v>
      </c>
      <c r="J64" t="s">
        <v>2721</v>
      </c>
    </row>
    <row r="65" spans="1:10">
      <c r="A65" t="s">
        <v>2767</v>
      </c>
      <c r="B65" t="s">
        <v>211</v>
      </c>
      <c r="C65" s="2" t="s">
        <v>248</v>
      </c>
      <c r="E65">
        <v>60084.83</v>
      </c>
      <c r="G65">
        <v>0.06</v>
      </c>
      <c r="I65" t="s">
        <v>2718</v>
      </c>
      <c r="J65" t="s">
        <v>2721</v>
      </c>
    </row>
    <row r="66" spans="1:10">
      <c r="A66" t="s">
        <v>2768</v>
      </c>
      <c r="B66" t="s">
        <v>219</v>
      </c>
      <c r="C66" s="2" t="s">
        <v>251</v>
      </c>
      <c r="E66">
        <v>60071.476000000002</v>
      </c>
      <c r="G66">
        <v>0.01</v>
      </c>
      <c r="I66" t="s">
        <v>2718</v>
      </c>
      <c r="J66" t="s">
        <v>2728</v>
      </c>
    </row>
    <row r="67" spans="1:10">
      <c r="A67" t="s">
        <v>2768</v>
      </c>
      <c r="B67" t="s">
        <v>219</v>
      </c>
      <c r="C67" s="2" t="s">
        <v>249</v>
      </c>
      <c r="E67">
        <v>60071.633999999998</v>
      </c>
      <c r="G67">
        <v>1.4E-2</v>
      </c>
      <c r="I67" t="s">
        <v>2718</v>
      </c>
      <c r="J67" t="s">
        <v>2728</v>
      </c>
    </row>
    <row r="68" spans="1:10">
      <c r="A68" t="s">
        <v>2769</v>
      </c>
      <c r="B68" t="s">
        <v>594</v>
      </c>
      <c r="C68" s="2" t="s">
        <v>251</v>
      </c>
      <c r="E68">
        <v>60076.254000000001</v>
      </c>
      <c r="G68">
        <v>1.6E-2</v>
      </c>
      <c r="I68" t="s">
        <v>2718</v>
      </c>
      <c r="J68" t="s">
        <v>2728</v>
      </c>
    </row>
    <row r="69" spans="1:10">
      <c r="A69" t="s">
        <v>2769</v>
      </c>
      <c r="B69" t="s">
        <v>594</v>
      </c>
      <c r="C69" s="2" t="s">
        <v>252</v>
      </c>
      <c r="E69">
        <v>60076.254000000001</v>
      </c>
      <c r="G69">
        <v>1.6E-2</v>
      </c>
      <c r="I69" t="s">
        <v>2718</v>
      </c>
      <c r="J69" t="s">
        <v>2728</v>
      </c>
    </row>
    <row r="70" spans="1:10">
      <c r="A70" t="s">
        <v>2770</v>
      </c>
      <c r="B70" t="s">
        <v>644</v>
      </c>
      <c r="C70" s="2" t="s">
        <v>2763</v>
      </c>
      <c r="E70">
        <v>60077.36</v>
      </c>
      <c r="G70">
        <v>0.03</v>
      </c>
      <c r="I70" t="s">
        <v>2718</v>
      </c>
      <c r="J70" t="s">
        <v>2728</v>
      </c>
    </row>
    <row r="71" spans="1:10">
      <c r="A71" t="s">
        <v>2771</v>
      </c>
      <c r="B71" t="s">
        <v>219</v>
      </c>
      <c r="C71" s="2" t="s">
        <v>249</v>
      </c>
      <c r="E71">
        <v>60593.77</v>
      </c>
      <c r="G71">
        <v>0.05</v>
      </c>
      <c r="I71" t="s">
        <v>2718</v>
      </c>
      <c r="J71" t="s">
        <v>2721</v>
      </c>
    </row>
    <row r="72" spans="1:10">
      <c r="A72" t="s">
        <v>2772</v>
      </c>
      <c r="B72" t="s">
        <v>209</v>
      </c>
      <c r="C72" s="2" t="s">
        <v>250</v>
      </c>
      <c r="E72">
        <v>60594.52</v>
      </c>
      <c r="G72">
        <v>0.15</v>
      </c>
      <c r="I72" t="s">
        <v>2718</v>
      </c>
      <c r="J72" t="s">
        <v>2721</v>
      </c>
    </row>
    <row r="73" spans="1:10">
      <c r="A73" t="s">
        <v>2772</v>
      </c>
      <c r="B73" t="s">
        <v>209</v>
      </c>
      <c r="C73" s="2" t="s">
        <v>249</v>
      </c>
      <c r="E73">
        <v>60595.02</v>
      </c>
      <c r="G73">
        <v>0.08</v>
      </c>
      <c r="I73" t="s">
        <v>2718</v>
      </c>
      <c r="J73" t="s">
        <v>2721</v>
      </c>
    </row>
    <row r="74" spans="1:10">
      <c r="A74" t="s">
        <v>2773</v>
      </c>
      <c r="B74" t="s">
        <v>211</v>
      </c>
      <c r="C74" s="2" t="s">
        <v>250</v>
      </c>
      <c r="E74">
        <v>60595.1</v>
      </c>
      <c r="G74">
        <v>0.04</v>
      </c>
      <c r="I74" t="s">
        <v>2718</v>
      </c>
      <c r="J74" t="s">
        <v>2721</v>
      </c>
    </row>
    <row r="75" spans="1:10">
      <c r="A75" t="s">
        <v>2773</v>
      </c>
      <c r="B75" t="s">
        <v>211</v>
      </c>
      <c r="C75" s="2" t="s">
        <v>248</v>
      </c>
      <c r="E75">
        <v>60601.19</v>
      </c>
      <c r="G75">
        <v>0.06</v>
      </c>
      <c r="I75" t="s">
        <v>2718</v>
      </c>
      <c r="J75" t="s">
        <v>2721</v>
      </c>
    </row>
    <row r="76" spans="1:10">
      <c r="A76" t="s">
        <v>2774</v>
      </c>
      <c r="B76" t="s">
        <v>211</v>
      </c>
      <c r="C76" s="2" t="s">
        <v>250</v>
      </c>
      <c r="E76">
        <v>60956.32</v>
      </c>
      <c r="G76">
        <v>0.04</v>
      </c>
      <c r="I76" t="s">
        <v>2718</v>
      </c>
      <c r="J76" t="s">
        <v>2721</v>
      </c>
    </row>
    <row r="77" spans="1:10">
      <c r="A77" t="s">
        <v>2774</v>
      </c>
      <c r="B77" t="s">
        <v>211</v>
      </c>
      <c r="C77" s="2" t="s">
        <v>248</v>
      </c>
      <c r="E77">
        <v>60959.37</v>
      </c>
      <c r="G77">
        <v>0.06</v>
      </c>
      <c r="I77" t="s">
        <v>2718</v>
      </c>
      <c r="J77" t="s">
        <v>2721</v>
      </c>
    </row>
    <row r="78" spans="1:10">
      <c r="A78" t="s">
        <v>2775</v>
      </c>
      <c r="B78" t="s">
        <v>209</v>
      </c>
      <c r="C78" s="2" t="s">
        <v>250</v>
      </c>
      <c r="E78">
        <v>60956.91</v>
      </c>
      <c r="G78">
        <v>0.16</v>
      </c>
      <c r="I78" t="s">
        <v>2718</v>
      </c>
      <c r="J78" t="s">
        <v>2721</v>
      </c>
    </row>
    <row r="79" spans="1:10">
      <c r="A79" t="s">
        <v>2775</v>
      </c>
      <c r="B79" t="s">
        <v>209</v>
      </c>
      <c r="C79" s="2" t="s">
        <v>249</v>
      </c>
      <c r="E79">
        <v>60957.32</v>
      </c>
      <c r="G79">
        <v>0.19</v>
      </c>
      <c r="I79" t="s">
        <v>2718</v>
      </c>
      <c r="J79" t="s">
        <v>2721</v>
      </c>
    </row>
    <row r="80" spans="1:10">
      <c r="A80" t="s">
        <v>2776</v>
      </c>
      <c r="B80" t="s">
        <v>211</v>
      </c>
      <c r="C80" s="2" t="s">
        <v>250</v>
      </c>
      <c r="E80">
        <v>61215.13</v>
      </c>
      <c r="G80">
        <v>0.08</v>
      </c>
      <c r="I80" t="s">
        <v>2718</v>
      </c>
      <c r="J80" t="s">
        <v>2719</v>
      </c>
    </row>
    <row r="81" spans="1:10">
      <c r="A81" t="s">
        <v>2776</v>
      </c>
      <c r="B81" t="s">
        <v>211</v>
      </c>
      <c r="C81" s="2" t="s">
        <v>248</v>
      </c>
      <c r="E81">
        <v>61216.86</v>
      </c>
      <c r="G81">
        <v>0.06</v>
      </c>
      <c r="I81" t="s">
        <v>2718</v>
      </c>
      <c r="J81" t="s">
        <v>2721</v>
      </c>
    </row>
    <row r="82" spans="1:10">
      <c r="A82" t="s">
        <v>2777</v>
      </c>
      <c r="B82" t="s">
        <v>209</v>
      </c>
      <c r="C82" s="2" t="s">
        <v>249</v>
      </c>
      <c r="E82">
        <v>61216.2</v>
      </c>
      <c r="G82">
        <v>0.3</v>
      </c>
      <c r="I82" t="s">
        <v>2718</v>
      </c>
      <c r="J82" t="s">
        <v>2721</v>
      </c>
    </row>
    <row r="83" spans="1:10">
      <c r="A83" t="s">
        <v>2778</v>
      </c>
      <c r="B83" t="s">
        <v>211</v>
      </c>
      <c r="C83" s="2" t="s">
        <v>250</v>
      </c>
      <c r="E83">
        <v>61406.75</v>
      </c>
      <c r="G83">
        <v>7.0000000000000007E-2</v>
      </c>
      <c r="I83" t="s">
        <v>2718</v>
      </c>
      <c r="J83" t="s">
        <v>2719</v>
      </c>
    </row>
    <row r="84" spans="1:10">
      <c r="A84" t="s">
        <v>2778</v>
      </c>
      <c r="B84" t="s">
        <v>211</v>
      </c>
      <c r="C84" s="2" t="s">
        <v>248</v>
      </c>
      <c r="E84">
        <v>61407.49</v>
      </c>
      <c r="G84">
        <v>0.08</v>
      </c>
      <c r="I84" t="s">
        <v>2718</v>
      </c>
      <c r="J84" t="s">
        <v>2721</v>
      </c>
    </row>
    <row r="85" spans="1:10">
      <c r="A85" t="s">
        <v>2779</v>
      </c>
      <c r="B85" t="s">
        <v>211</v>
      </c>
      <c r="C85" s="2" t="s">
        <v>250</v>
      </c>
      <c r="E85">
        <v>61552.44</v>
      </c>
      <c r="G85">
        <v>0.13</v>
      </c>
      <c r="I85" t="s">
        <v>2718</v>
      </c>
      <c r="J85" t="s">
        <v>2721</v>
      </c>
    </row>
    <row r="86" spans="1:10">
      <c r="A86" t="s">
        <v>2779</v>
      </c>
      <c r="B86" t="s">
        <v>211</v>
      </c>
      <c r="C86" s="2" t="s">
        <v>248</v>
      </c>
      <c r="E86">
        <v>61552.7</v>
      </c>
      <c r="G86">
        <v>0.2</v>
      </c>
      <c r="I86" t="s">
        <v>2718</v>
      </c>
      <c r="J86" t="s">
        <v>2721</v>
      </c>
    </row>
    <row r="87" spans="1:10">
      <c r="A87" t="s">
        <v>2780</v>
      </c>
      <c r="B87" t="s">
        <v>211</v>
      </c>
      <c r="C87" s="2" t="s">
        <v>250</v>
      </c>
      <c r="E87">
        <v>61665.86</v>
      </c>
      <c r="G87">
        <v>0.19</v>
      </c>
      <c r="I87" t="s">
        <v>2718</v>
      </c>
      <c r="J87" t="s">
        <v>2721</v>
      </c>
    </row>
    <row r="88" spans="1:10">
      <c r="A88" t="s">
        <v>2780</v>
      </c>
      <c r="B88" t="s">
        <v>211</v>
      </c>
      <c r="C88" s="2" t="s">
        <v>248</v>
      </c>
      <c r="E88">
        <v>61665.9</v>
      </c>
      <c r="G88">
        <v>0.21</v>
      </c>
      <c r="I88" t="s">
        <v>2718</v>
      </c>
      <c r="J88" t="s">
        <v>2721</v>
      </c>
    </row>
    <row r="89" spans="1:10">
      <c r="A89" t="s">
        <v>2781</v>
      </c>
      <c r="B89" t="s">
        <v>211</v>
      </c>
      <c r="C89" s="2" t="s">
        <v>250</v>
      </c>
      <c r="E89">
        <v>61755.71</v>
      </c>
      <c r="G89">
        <v>0.19</v>
      </c>
      <c r="I89" t="s">
        <v>2718</v>
      </c>
      <c r="J89" t="s">
        <v>2721</v>
      </c>
    </row>
    <row r="90" spans="1:10">
      <c r="A90" t="s">
        <v>2781</v>
      </c>
      <c r="B90" t="s">
        <v>211</v>
      </c>
      <c r="C90" s="2" t="s">
        <v>248</v>
      </c>
      <c r="E90">
        <v>61755.76</v>
      </c>
      <c r="G90">
        <v>0.21</v>
      </c>
      <c r="I90" t="s">
        <v>2718</v>
      </c>
      <c r="J90" t="s">
        <v>2721</v>
      </c>
    </row>
    <row r="91" spans="1:10">
      <c r="A91" t="s">
        <v>2782</v>
      </c>
      <c r="B91" t="s">
        <v>211</v>
      </c>
      <c r="C91" s="2" t="s">
        <v>2783</v>
      </c>
      <c r="E91">
        <v>61828.24</v>
      </c>
      <c r="G91">
        <v>0.08</v>
      </c>
      <c r="I91" t="s">
        <v>2718</v>
      </c>
      <c r="J91" t="s">
        <v>2719</v>
      </c>
    </row>
    <row r="92" spans="1:10">
      <c r="A92" t="s">
        <v>2784</v>
      </c>
      <c r="B92" t="s">
        <v>211</v>
      </c>
      <c r="C92" s="2" t="s">
        <v>2783</v>
      </c>
      <c r="E92">
        <v>61887.55</v>
      </c>
      <c r="G92">
        <v>0.08</v>
      </c>
      <c r="I92" t="s">
        <v>2718</v>
      </c>
      <c r="J92" t="s">
        <v>2719</v>
      </c>
    </row>
    <row r="93" spans="1:10">
      <c r="A93" t="s">
        <v>2785</v>
      </c>
      <c r="B93" t="s">
        <v>211</v>
      </c>
      <c r="C93" s="2" t="s">
        <v>2783</v>
      </c>
      <c r="E93">
        <v>61936.69</v>
      </c>
      <c r="G93">
        <v>0.08</v>
      </c>
      <c r="I93" t="s">
        <v>2718</v>
      </c>
      <c r="J93" t="s">
        <v>2719</v>
      </c>
    </row>
    <row r="94" spans="1:10">
      <c r="A94" t="s">
        <v>2786</v>
      </c>
      <c r="B94" t="s">
        <v>206</v>
      </c>
      <c r="C94" s="2" t="s">
        <v>248</v>
      </c>
      <c r="E94">
        <v>61955.7</v>
      </c>
      <c r="G94">
        <v>0.3</v>
      </c>
      <c r="I94" t="s">
        <v>2718</v>
      </c>
      <c r="J94" t="s">
        <v>2721</v>
      </c>
    </row>
    <row r="95" spans="1:10">
      <c r="A95" t="s">
        <v>2787</v>
      </c>
      <c r="B95" t="s">
        <v>211</v>
      </c>
      <c r="C95" s="2" t="s">
        <v>2783</v>
      </c>
      <c r="E95">
        <v>61977.88</v>
      </c>
      <c r="G95">
        <v>0.08</v>
      </c>
      <c r="I95" t="s">
        <v>2718</v>
      </c>
      <c r="J95" t="s">
        <v>2721</v>
      </c>
    </row>
    <row r="96" spans="1:10">
      <c r="A96" t="s">
        <v>2788</v>
      </c>
      <c r="B96" t="s">
        <v>206</v>
      </c>
      <c r="C96" s="2" t="s">
        <v>248</v>
      </c>
      <c r="E96">
        <v>61993.8</v>
      </c>
      <c r="G96">
        <v>0.3</v>
      </c>
      <c r="I96" t="s">
        <v>2718</v>
      </c>
      <c r="J96" t="s">
        <v>2721</v>
      </c>
    </row>
    <row r="97" spans="1:10">
      <c r="A97" t="s">
        <v>2789</v>
      </c>
      <c r="B97" t="s">
        <v>211</v>
      </c>
      <c r="C97" s="2" t="s">
        <v>2783</v>
      </c>
      <c r="E97">
        <v>62012.7</v>
      </c>
      <c r="G97">
        <v>0.08</v>
      </c>
      <c r="I97" t="s">
        <v>2718</v>
      </c>
      <c r="J97" t="s">
        <v>2721</v>
      </c>
    </row>
    <row r="98" spans="1:10">
      <c r="A98" t="s">
        <v>2790</v>
      </c>
      <c r="B98" t="s">
        <v>206</v>
      </c>
      <c r="C98" s="2" t="s">
        <v>248</v>
      </c>
      <c r="E98">
        <v>62026.1</v>
      </c>
      <c r="G98">
        <v>0.3</v>
      </c>
      <c r="I98" t="s">
        <v>2718</v>
      </c>
      <c r="J98" t="s">
        <v>2721</v>
      </c>
    </row>
    <row r="99" spans="1:10">
      <c r="A99" t="s">
        <v>2791</v>
      </c>
      <c r="B99" t="s">
        <v>211</v>
      </c>
      <c r="C99" s="2" t="s">
        <v>2783</v>
      </c>
      <c r="E99">
        <v>62042.44</v>
      </c>
      <c r="G99">
        <v>0.08</v>
      </c>
      <c r="I99" t="s">
        <v>2718</v>
      </c>
      <c r="J99" t="s">
        <v>2721</v>
      </c>
    </row>
    <row r="100" spans="1:10">
      <c r="A100" t="s">
        <v>2792</v>
      </c>
      <c r="B100" t="s">
        <v>206</v>
      </c>
      <c r="C100" s="2" t="s">
        <v>248</v>
      </c>
      <c r="E100">
        <v>62054</v>
      </c>
      <c r="G100">
        <v>0.3</v>
      </c>
      <c r="I100" t="s">
        <v>2718</v>
      </c>
      <c r="J100" t="s">
        <v>2721</v>
      </c>
    </row>
    <row r="101" spans="1:10">
      <c r="A101" t="s">
        <v>2793</v>
      </c>
      <c r="B101" t="s">
        <v>211</v>
      </c>
      <c r="C101" s="2" t="s">
        <v>2783</v>
      </c>
      <c r="E101">
        <v>62068.01</v>
      </c>
      <c r="G101">
        <v>0.08</v>
      </c>
      <c r="I101" t="s">
        <v>2718</v>
      </c>
      <c r="J101" t="s">
        <v>2721</v>
      </c>
    </row>
    <row r="102" spans="1:10">
      <c r="A102" t="s">
        <v>2794</v>
      </c>
      <c r="B102" t="s">
        <v>206</v>
      </c>
      <c r="C102" s="2" t="s">
        <v>248</v>
      </c>
      <c r="E102">
        <v>62077.95</v>
      </c>
      <c r="G102">
        <v>0.16</v>
      </c>
      <c r="I102" t="s">
        <v>2718</v>
      </c>
      <c r="J102" t="s">
        <v>2719</v>
      </c>
    </row>
    <row r="103" spans="1:10">
      <c r="A103" t="s">
        <v>2795</v>
      </c>
      <c r="B103" t="s">
        <v>211</v>
      </c>
      <c r="C103" s="2" t="s">
        <v>2783</v>
      </c>
      <c r="E103">
        <v>62090.17</v>
      </c>
      <c r="G103">
        <v>0.08</v>
      </c>
      <c r="I103" t="s">
        <v>2718</v>
      </c>
      <c r="J103" t="s">
        <v>2721</v>
      </c>
    </row>
    <row r="104" spans="1:10">
      <c r="A104" t="s">
        <v>2796</v>
      </c>
      <c r="B104" t="s">
        <v>206</v>
      </c>
      <c r="C104" s="2" t="s">
        <v>248</v>
      </c>
      <c r="E104">
        <v>62098.9</v>
      </c>
      <c r="G104">
        <v>0.3</v>
      </c>
      <c r="I104" t="s">
        <v>2718</v>
      </c>
      <c r="J104" t="s">
        <v>2721</v>
      </c>
    </row>
    <row r="105" spans="1:10">
      <c r="A105" t="s">
        <v>2797</v>
      </c>
      <c r="B105" t="s">
        <v>211</v>
      </c>
      <c r="C105" s="2" t="s">
        <v>2783</v>
      </c>
      <c r="E105">
        <v>62109.53</v>
      </c>
      <c r="G105">
        <v>0.08</v>
      </c>
      <c r="I105" t="s">
        <v>2718</v>
      </c>
      <c r="J105" t="s">
        <v>2719</v>
      </c>
    </row>
    <row r="106" spans="1:10">
      <c r="A106" t="s">
        <v>2798</v>
      </c>
      <c r="B106" t="s">
        <v>206</v>
      </c>
      <c r="C106" s="2" t="s">
        <v>248</v>
      </c>
      <c r="E106">
        <v>62117.36</v>
      </c>
      <c r="G106">
        <v>0.08</v>
      </c>
      <c r="I106" t="s">
        <v>2718</v>
      </c>
      <c r="J106" t="s">
        <v>2721</v>
      </c>
    </row>
    <row r="107" spans="1:10">
      <c r="A107" t="s">
        <v>2799</v>
      </c>
      <c r="B107" t="s">
        <v>211</v>
      </c>
      <c r="C107" s="2" t="s">
        <v>2783</v>
      </c>
      <c r="E107">
        <v>62126.5</v>
      </c>
      <c r="G107">
        <v>0.08</v>
      </c>
      <c r="I107" t="s">
        <v>2718</v>
      </c>
      <c r="J107" t="s">
        <v>2721</v>
      </c>
    </row>
    <row r="108" spans="1:10">
      <c r="A108" t="s">
        <v>2800</v>
      </c>
      <c r="B108" t="s">
        <v>206</v>
      </c>
      <c r="C108" s="2" t="s">
        <v>248</v>
      </c>
      <c r="E108">
        <v>62133.1</v>
      </c>
      <c r="G108">
        <v>0.3</v>
      </c>
      <c r="I108" t="s">
        <v>2718</v>
      </c>
      <c r="J108" t="s">
        <v>2721</v>
      </c>
    </row>
    <row r="109" spans="1:10">
      <c r="A109" t="s">
        <v>2801</v>
      </c>
      <c r="B109" t="s">
        <v>211</v>
      </c>
      <c r="C109" s="2" t="s">
        <v>2783</v>
      </c>
      <c r="E109">
        <v>62141.440000000002</v>
      </c>
      <c r="G109">
        <v>0.08</v>
      </c>
      <c r="I109" t="s">
        <v>2718</v>
      </c>
      <c r="J109" t="s">
        <v>2721</v>
      </c>
    </row>
    <row r="110" spans="1:10">
      <c r="A110" t="s">
        <v>2802</v>
      </c>
      <c r="B110" t="s">
        <v>206</v>
      </c>
      <c r="C110" s="2" t="s">
        <v>248</v>
      </c>
      <c r="E110">
        <v>62147.43</v>
      </c>
      <c r="G110">
        <v>0.08</v>
      </c>
      <c r="I110" t="s">
        <v>2718</v>
      </c>
      <c r="J110" t="s">
        <v>2721</v>
      </c>
    </row>
    <row r="111" spans="1:10">
      <c r="A111" t="s">
        <v>2803</v>
      </c>
      <c r="B111" t="s">
        <v>211</v>
      </c>
      <c r="C111" s="2" t="s">
        <v>2783</v>
      </c>
      <c r="E111">
        <v>62154.77</v>
      </c>
      <c r="G111">
        <v>0.08</v>
      </c>
      <c r="I111" t="s">
        <v>2718</v>
      </c>
      <c r="J111" t="s">
        <v>2721</v>
      </c>
    </row>
    <row r="112" spans="1:10">
      <c r="A112" t="s">
        <v>2804</v>
      </c>
      <c r="B112" t="s">
        <v>206</v>
      </c>
      <c r="C112" s="2" t="s">
        <v>248</v>
      </c>
      <c r="E112">
        <v>62159.95</v>
      </c>
      <c r="G112">
        <v>0.08</v>
      </c>
      <c r="I112" t="s">
        <v>2718</v>
      </c>
      <c r="J112" t="s">
        <v>2719</v>
      </c>
    </row>
    <row r="113" spans="1:10">
      <c r="A113" t="s">
        <v>2805</v>
      </c>
      <c r="B113" t="s">
        <v>211</v>
      </c>
      <c r="C113" s="2" t="s">
        <v>2783</v>
      </c>
      <c r="E113">
        <v>62166.63</v>
      </c>
      <c r="G113">
        <v>0.08</v>
      </c>
      <c r="I113" t="s">
        <v>2718</v>
      </c>
      <c r="J113" t="s">
        <v>2721</v>
      </c>
    </row>
    <row r="114" spans="1:10">
      <c r="A114" t="s">
        <v>2806</v>
      </c>
      <c r="B114" t="s">
        <v>206</v>
      </c>
      <c r="C114" s="2" t="s">
        <v>248</v>
      </c>
      <c r="E114">
        <v>62171.39</v>
      </c>
      <c r="G114">
        <v>0.08</v>
      </c>
      <c r="I114" t="s">
        <v>2718</v>
      </c>
      <c r="J114" t="s">
        <v>2719</v>
      </c>
    </row>
    <row r="115" spans="1:10">
      <c r="A115" t="s">
        <v>2807</v>
      </c>
      <c r="B115" t="s">
        <v>211</v>
      </c>
      <c r="C115" s="2" t="s">
        <v>2783</v>
      </c>
      <c r="E115">
        <v>62177.22</v>
      </c>
      <c r="G115">
        <v>0.08</v>
      </c>
      <c r="I115" t="s">
        <v>2718</v>
      </c>
      <c r="J115" t="s">
        <v>2721</v>
      </c>
    </row>
    <row r="116" spans="1:10">
      <c r="A116" t="s">
        <v>2808</v>
      </c>
      <c r="B116" t="s">
        <v>206</v>
      </c>
      <c r="C116" s="2" t="s">
        <v>248</v>
      </c>
      <c r="E116">
        <v>62181.48</v>
      </c>
      <c r="G116">
        <v>0.08</v>
      </c>
      <c r="I116" t="s">
        <v>2718</v>
      </c>
      <c r="J116" t="s">
        <v>2719</v>
      </c>
    </row>
    <row r="117" spans="1:10">
      <c r="A117" t="s">
        <v>2809</v>
      </c>
      <c r="B117" t="s">
        <v>211</v>
      </c>
      <c r="C117" s="2" t="s">
        <v>2783</v>
      </c>
      <c r="E117">
        <v>62186.73</v>
      </c>
      <c r="G117">
        <v>0.08</v>
      </c>
      <c r="I117" t="s">
        <v>2718</v>
      </c>
      <c r="J117" t="s">
        <v>2721</v>
      </c>
    </row>
    <row r="118" spans="1:10">
      <c r="A118" t="s">
        <v>2810</v>
      </c>
      <c r="B118" t="s">
        <v>206</v>
      </c>
      <c r="C118" s="2" t="s">
        <v>248</v>
      </c>
      <c r="E118">
        <v>62190.559999999998</v>
      </c>
      <c r="G118">
        <v>0.08</v>
      </c>
      <c r="I118" t="s">
        <v>2718</v>
      </c>
      <c r="J118" t="s">
        <v>2719</v>
      </c>
    </row>
    <row r="119" spans="1:10">
      <c r="A119" t="s">
        <v>2811</v>
      </c>
      <c r="B119" t="s">
        <v>211</v>
      </c>
      <c r="C119" s="2" t="s">
        <v>2783</v>
      </c>
      <c r="E119">
        <v>62195.360000000001</v>
      </c>
      <c r="G119">
        <v>0.08</v>
      </c>
      <c r="I119" t="s">
        <v>2718</v>
      </c>
      <c r="J119" t="s">
        <v>2721</v>
      </c>
    </row>
    <row r="120" spans="1:10">
      <c r="A120" t="s">
        <v>2812</v>
      </c>
      <c r="B120" t="s">
        <v>206</v>
      </c>
      <c r="C120" s="2" t="s">
        <v>248</v>
      </c>
      <c r="E120">
        <v>62198.73</v>
      </c>
      <c r="G120">
        <v>0.08</v>
      </c>
      <c r="I120" t="s">
        <v>2718</v>
      </c>
      <c r="J120" t="s">
        <v>2719</v>
      </c>
    </row>
    <row r="121" spans="1:10">
      <c r="A121" t="s">
        <v>2813</v>
      </c>
      <c r="B121" t="s">
        <v>211</v>
      </c>
      <c r="C121" s="2" t="s">
        <v>2783</v>
      </c>
      <c r="E121">
        <v>62203.14</v>
      </c>
      <c r="G121">
        <v>0.08</v>
      </c>
      <c r="I121" t="s">
        <v>2718</v>
      </c>
      <c r="J121" t="s">
        <v>2721</v>
      </c>
    </row>
    <row r="122" spans="1:10">
      <c r="A122" t="s">
        <v>2814</v>
      </c>
      <c r="B122" t="s">
        <v>206</v>
      </c>
      <c r="C122" s="2" t="s">
        <v>248</v>
      </c>
      <c r="E122">
        <v>62206.27</v>
      </c>
      <c r="G122">
        <v>0.08</v>
      </c>
      <c r="I122" t="s">
        <v>2718</v>
      </c>
      <c r="J122" t="s">
        <v>2721</v>
      </c>
    </row>
    <row r="123" spans="1:10">
      <c r="A123" t="s">
        <v>2815</v>
      </c>
      <c r="B123" t="s">
        <v>211</v>
      </c>
      <c r="C123" s="2" t="s">
        <v>2783</v>
      </c>
      <c r="E123">
        <v>62210.18</v>
      </c>
      <c r="G123">
        <v>0.08</v>
      </c>
      <c r="I123" t="s">
        <v>2718</v>
      </c>
      <c r="J123" t="s">
        <v>2721</v>
      </c>
    </row>
    <row r="124" spans="1:10">
      <c r="A124" t="s">
        <v>2816</v>
      </c>
      <c r="B124" t="s">
        <v>206</v>
      </c>
      <c r="C124" s="2" t="s">
        <v>248</v>
      </c>
      <c r="E124">
        <v>62212.9</v>
      </c>
      <c r="G124">
        <v>0.3</v>
      </c>
      <c r="I124" t="s">
        <v>2718</v>
      </c>
      <c r="J124" t="s">
        <v>2721</v>
      </c>
    </row>
    <row r="125" spans="1:10">
      <c r="A125" t="s">
        <v>2817</v>
      </c>
      <c r="B125" t="s">
        <v>211</v>
      </c>
      <c r="C125" s="2" t="s">
        <v>2783</v>
      </c>
      <c r="E125">
        <v>62216.53</v>
      </c>
      <c r="G125">
        <v>0.08</v>
      </c>
      <c r="I125" t="s">
        <v>2718</v>
      </c>
      <c r="J125" t="s">
        <v>2721</v>
      </c>
    </row>
    <row r="126" spans="1:10">
      <c r="A126" t="s">
        <v>2818</v>
      </c>
      <c r="B126" t="s">
        <v>206</v>
      </c>
      <c r="C126" s="2" t="s">
        <v>248</v>
      </c>
      <c r="E126">
        <v>62219.199999999997</v>
      </c>
      <c r="G126">
        <v>0.3</v>
      </c>
      <c r="I126" t="s">
        <v>2718</v>
      </c>
      <c r="J126" t="s">
        <v>2721</v>
      </c>
    </row>
    <row r="127" spans="1:10">
      <c r="A127" t="s">
        <v>2819</v>
      </c>
      <c r="B127" t="s">
        <v>211</v>
      </c>
      <c r="C127" s="2" t="s">
        <v>2783</v>
      </c>
      <c r="E127">
        <v>62222.33</v>
      </c>
      <c r="G127">
        <v>0.08</v>
      </c>
      <c r="I127" t="s">
        <v>2718</v>
      </c>
      <c r="J127" t="s">
        <v>2721</v>
      </c>
    </row>
    <row r="128" spans="1:10">
      <c r="A128" t="s">
        <v>2820</v>
      </c>
      <c r="B128" t="s">
        <v>206</v>
      </c>
      <c r="C128" s="2" t="s">
        <v>248</v>
      </c>
      <c r="E128">
        <v>62224.5</v>
      </c>
      <c r="G128">
        <v>0.3</v>
      </c>
      <c r="I128" t="s">
        <v>2718</v>
      </c>
      <c r="J128" t="s">
        <v>2721</v>
      </c>
    </row>
    <row r="129" spans="1:10">
      <c r="A129" t="s">
        <v>2821</v>
      </c>
      <c r="B129" t="s">
        <v>211</v>
      </c>
      <c r="C129" s="2" t="s">
        <v>2783</v>
      </c>
      <c r="E129">
        <v>62227.72</v>
      </c>
      <c r="G129">
        <v>0.08</v>
      </c>
      <c r="I129" t="s">
        <v>2718</v>
      </c>
      <c r="J129" t="s">
        <v>2719</v>
      </c>
    </row>
    <row r="130" spans="1:10">
      <c r="A130" t="s">
        <v>2822</v>
      </c>
      <c r="B130" t="s">
        <v>206</v>
      </c>
      <c r="C130" s="2" t="s">
        <v>248</v>
      </c>
      <c r="E130">
        <v>62229.8</v>
      </c>
      <c r="G130">
        <v>0.3</v>
      </c>
      <c r="I130" t="s">
        <v>2718</v>
      </c>
      <c r="J130" t="s">
        <v>2721</v>
      </c>
    </row>
    <row r="131" spans="1:10">
      <c r="A131" t="s">
        <v>2823</v>
      </c>
      <c r="B131" t="s">
        <v>211</v>
      </c>
      <c r="C131" s="2" t="s">
        <v>2783</v>
      </c>
      <c r="E131">
        <v>62232.67</v>
      </c>
      <c r="G131">
        <v>0.08</v>
      </c>
      <c r="I131" t="s">
        <v>2718</v>
      </c>
      <c r="J131" t="s">
        <v>2721</v>
      </c>
    </row>
    <row r="132" spans="1:10">
      <c r="A132" t="s">
        <v>2824</v>
      </c>
      <c r="B132" t="s">
        <v>206</v>
      </c>
      <c r="C132" s="2" t="s">
        <v>248</v>
      </c>
      <c r="E132">
        <v>62234.5</v>
      </c>
      <c r="G132">
        <v>0.3</v>
      </c>
      <c r="I132" t="s">
        <v>2718</v>
      </c>
      <c r="J132" t="s">
        <v>2721</v>
      </c>
    </row>
    <row r="133" spans="1:10">
      <c r="A133" t="s">
        <v>2825</v>
      </c>
      <c r="B133" t="s">
        <v>211</v>
      </c>
      <c r="C133" s="2" t="s">
        <v>2783</v>
      </c>
      <c r="E133">
        <v>62237.2</v>
      </c>
      <c r="G133">
        <v>0.08</v>
      </c>
      <c r="I133" t="s">
        <v>2718</v>
      </c>
      <c r="J133" t="s">
        <v>2719</v>
      </c>
    </row>
    <row r="134" spans="1:10">
      <c r="A134" t="s">
        <v>2826</v>
      </c>
      <c r="B134" t="s">
        <v>206</v>
      </c>
      <c r="C134" s="2" t="s">
        <v>248</v>
      </c>
      <c r="E134">
        <v>62238.7</v>
      </c>
      <c r="G134">
        <v>0.3</v>
      </c>
      <c r="I134" t="s">
        <v>2718</v>
      </c>
      <c r="J134" t="s">
        <v>2721</v>
      </c>
    </row>
    <row r="135" spans="1:10">
      <c r="A135" t="s">
        <v>2827</v>
      </c>
      <c r="B135" t="s">
        <v>211</v>
      </c>
      <c r="C135" s="2" t="s">
        <v>2783</v>
      </c>
      <c r="E135">
        <v>62241.35</v>
      </c>
      <c r="G135">
        <v>0.08</v>
      </c>
      <c r="I135" t="s">
        <v>2718</v>
      </c>
      <c r="J135" t="s">
        <v>2721</v>
      </c>
    </row>
    <row r="136" spans="1:10">
      <c r="A136" t="s">
        <v>2828</v>
      </c>
      <c r="B136" t="s">
        <v>206</v>
      </c>
      <c r="C136" s="2" t="s">
        <v>248</v>
      </c>
      <c r="E136">
        <v>62242.8</v>
      </c>
      <c r="G136">
        <v>0.3</v>
      </c>
      <c r="I136" t="s">
        <v>2718</v>
      </c>
      <c r="J136" t="s">
        <v>2721</v>
      </c>
    </row>
    <row r="137" spans="1:10">
      <c r="A137" t="s">
        <v>2829</v>
      </c>
      <c r="B137" t="s">
        <v>211</v>
      </c>
      <c r="C137" s="2" t="s">
        <v>2783</v>
      </c>
      <c r="E137">
        <v>62245.22</v>
      </c>
      <c r="G137">
        <v>0.08</v>
      </c>
      <c r="I137" t="s">
        <v>2718</v>
      </c>
      <c r="J137" t="s">
        <v>2721</v>
      </c>
    </row>
    <row r="138" spans="1:10">
      <c r="A138" t="s">
        <v>2830</v>
      </c>
      <c r="B138" t="s">
        <v>211</v>
      </c>
      <c r="C138" s="2" t="s">
        <v>2783</v>
      </c>
      <c r="E138">
        <v>62248.79</v>
      </c>
      <c r="G138">
        <v>0.08</v>
      </c>
      <c r="I138" t="s">
        <v>2718</v>
      </c>
      <c r="J138" t="s">
        <v>2721</v>
      </c>
    </row>
    <row r="139" spans="1:10">
      <c r="A139" t="s">
        <v>2831</v>
      </c>
      <c r="B139" t="s">
        <v>211</v>
      </c>
      <c r="C139" s="2" t="s">
        <v>2783</v>
      </c>
      <c r="E139">
        <v>62252.08</v>
      </c>
      <c r="G139">
        <v>0.08</v>
      </c>
      <c r="I139" t="s">
        <v>2718</v>
      </c>
      <c r="J139" t="s">
        <v>2721</v>
      </c>
    </row>
    <row r="140" spans="1:10">
      <c r="A140" t="s">
        <v>2832</v>
      </c>
      <c r="B140" t="s">
        <v>211</v>
      </c>
      <c r="C140" s="2" t="s">
        <v>2783</v>
      </c>
      <c r="E140">
        <v>62255.14</v>
      </c>
      <c r="G140">
        <v>0.08</v>
      </c>
      <c r="I140" t="s">
        <v>2718</v>
      </c>
      <c r="J140" t="s">
        <v>2721</v>
      </c>
    </row>
    <row r="141" spans="1:10">
      <c r="A141" t="s">
        <v>2833</v>
      </c>
      <c r="B141" t="s">
        <v>211</v>
      </c>
      <c r="C141" s="2" t="s">
        <v>2783</v>
      </c>
      <c r="E141">
        <v>62258.05</v>
      </c>
      <c r="G141">
        <v>0.08</v>
      </c>
      <c r="I141" t="s">
        <v>2718</v>
      </c>
      <c r="J141" t="s">
        <v>2719</v>
      </c>
    </row>
    <row r="142" spans="1:10">
      <c r="A142" t="s">
        <v>2834</v>
      </c>
      <c r="B142" t="s">
        <v>211</v>
      </c>
      <c r="C142" s="2" t="s">
        <v>2783</v>
      </c>
      <c r="E142">
        <v>62260.72</v>
      </c>
      <c r="G142">
        <v>0.08</v>
      </c>
      <c r="I142" t="s">
        <v>2718</v>
      </c>
      <c r="J142" t="s">
        <v>2719</v>
      </c>
    </row>
    <row r="143" spans="1:10">
      <c r="A143" t="s">
        <v>2835</v>
      </c>
      <c r="B143" t="s">
        <v>211</v>
      </c>
      <c r="C143" s="2" t="s">
        <v>2783</v>
      </c>
      <c r="E143">
        <v>62263.21</v>
      </c>
      <c r="G143">
        <v>0.08</v>
      </c>
      <c r="I143" t="s">
        <v>2718</v>
      </c>
      <c r="J143" t="s">
        <v>2721</v>
      </c>
    </row>
    <row r="144" spans="1:10">
      <c r="A144" t="s">
        <v>2836</v>
      </c>
      <c r="B144" t="s">
        <v>211</v>
      </c>
      <c r="C144" s="2" t="s">
        <v>2783</v>
      </c>
      <c r="E144">
        <v>62265.57</v>
      </c>
      <c r="G144">
        <v>0.08</v>
      </c>
      <c r="I144" t="s">
        <v>2718</v>
      </c>
      <c r="J144" t="s">
        <v>2719</v>
      </c>
    </row>
    <row r="145" spans="1:10">
      <c r="A145" t="s">
        <v>2837</v>
      </c>
      <c r="B145" t="s">
        <v>211</v>
      </c>
      <c r="C145" s="2" t="s">
        <v>2783</v>
      </c>
      <c r="E145">
        <v>62267.7</v>
      </c>
      <c r="G145">
        <v>0.08</v>
      </c>
      <c r="I145" t="s">
        <v>2718</v>
      </c>
      <c r="J145" t="s">
        <v>2721</v>
      </c>
    </row>
    <row r="146" spans="1:10">
      <c r="A146" t="s">
        <v>2838</v>
      </c>
      <c r="B146" t="s">
        <v>211</v>
      </c>
      <c r="C146" s="2" t="s">
        <v>2783</v>
      </c>
      <c r="E146">
        <v>62269.8</v>
      </c>
      <c r="G146">
        <v>0.08</v>
      </c>
      <c r="I146" t="s">
        <v>2718</v>
      </c>
      <c r="J146" t="s">
        <v>2719</v>
      </c>
    </row>
    <row r="147" spans="1:10">
      <c r="A147" t="s">
        <v>2839</v>
      </c>
      <c r="B147" t="s">
        <v>211</v>
      </c>
      <c r="C147" s="2" t="s">
        <v>2783</v>
      </c>
      <c r="E147">
        <v>62271.77</v>
      </c>
      <c r="G147">
        <v>0.08</v>
      </c>
      <c r="I147" t="s">
        <v>2718</v>
      </c>
      <c r="J147" t="s">
        <v>2721</v>
      </c>
    </row>
    <row r="148" spans="1:10">
      <c r="A148" t="s">
        <v>2840</v>
      </c>
      <c r="B148" t="s">
        <v>211</v>
      </c>
      <c r="C148" s="2" t="s">
        <v>2783</v>
      </c>
      <c r="E148">
        <v>62273.5</v>
      </c>
      <c r="G148">
        <v>0.3</v>
      </c>
      <c r="I148" t="s">
        <v>2718</v>
      </c>
      <c r="J148" t="s">
        <v>2721</v>
      </c>
    </row>
    <row r="149" spans="1:10">
      <c r="A149" t="s">
        <v>2841</v>
      </c>
      <c r="B149" t="s">
        <v>211</v>
      </c>
      <c r="C149" s="2" t="s">
        <v>2783</v>
      </c>
      <c r="E149">
        <v>62275.199999999997</v>
      </c>
      <c r="G149">
        <v>0.3</v>
      </c>
      <c r="I149" t="s">
        <v>2718</v>
      </c>
      <c r="J149" t="s">
        <v>2721</v>
      </c>
    </row>
    <row r="150" spans="1:10">
      <c r="A150" t="s">
        <v>2842</v>
      </c>
      <c r="B150" t="s">
        <v>211</v>
      </c>
      <c r="C150" s="2" t="s">
        <v>2783</v>
      </c>
      <c r="E150">
        <v>62276.7</v>
      </c>
      <c r="G150">
        <v>0.3</v>
      </c>
      <c r="I150" t="s">
        <v>2718</v>
      </c>
      <c r="J150" t="s">
        <v>2721</v>
      </c>
    </row>
    <row r="151" spans="1:10">
      <c r="A151" t="s">
        <v>2843</v>
      </c>
      <c r="B151" t="s">
        <v>211</v>
      </c>
      <c r="C151" s="2" t="s">
        <v>2783</v>
      </c>
      <c r="E151">
        <v>62278.400000000001</v>
      </c>
      <c r="G151">
        <v>0.3</v>
      </c>
      <c r="I151" t="s">
        <v>2718</v>
      </c>
      <c r="J151" t="s">
        <v>2721</v>
      </c>
    </row>
    <row r="152" spans="1:10">
      <c r="A152" t="s">
        <v>2844</v>
      </c>
      <c r="B152" t="s">
        <v>211</v>
      </c>
      <c r="C152" s="2" t="s">
        <v>2783</v>
      </c>
      <c r="E152">
        <v>62279.8</v>
      </c>
      <c r="G152">
        <v>0.3</v>
      </c>
      <c r="I152" t="s">
        <v>2718</v>
      </c>
      <c r="J152" t="s">
        <v>2721</v>
      </c>
    </row>
    <row r="153" spans="1:10">
      <c r="A153" t="s">
        <v>2845</v>
      </c>
      <c r="B153" t="s">
        <v>211</v>
      </c>
      <c r="C153" s="2" t="s">
        <v>2783</v>
      </c>
      <c r="E153">
        <v>62281.1</v>
      </c>
      <c r="G153">
        <v>0.3</v>
      </c>
      <c r="I153" t="s">
        <v>2718</v>
      </c>
      <c r="J153" t="s">
        <v>2721</v>
      </c>
    </row>
    <row r="154" spans="1:10">
      <c r="A154" t="s">
        <v>2846</v>
      </c>
      <c r="B154" t="s">
        <v>202</v>
      </c>
      <c r="C154" s="2" t="s">
        <v>203</v>
      </c>
      <c r="E154">
        <v>62317.46</v>
      </c>
      <c r="G154">
        <v>0.03</v>
      </c>
      <c r="I154" t="s">
        <v>2718</v>
      </c>
      <c r="J154" t="s">
        <v>2847</v>
      </c>
    </row>
    <row r="155" spans="1:10">
      <c r="A155" t="s">
        <v>2848</v>
      </c>
      <c r="B155" t="s">
        <v>231</v>
      </c>
      <c r="C155" s="2" t="s">
        <v>251</v>
      </c>
      <c r="E155">
        <v>62403.332000000002</v>
      </c>
      <c r="G155">
        <v>0.03</v>
      </c>
      <c r="H155">
        <v>1.42</v>
      </c>
      <c r="I155">
        <v>100</v>
      </c>
      <c r="J155" t="s">
        <v>2721</v>
      </c>
    </row>
    <row r="156" spans="1:10">
      <c r="A156" t="s">
        <v>2848</v>
      </c>
      <c r="B156" t="s">
        <v>231</v>
      </c>
      <c r="C156" s="2" t="s">
        <v>249</v>
      </c>
      <c r="E156">
        <v>62948.26</v>
      </c>
      <c r="G156">
        <v>0.05</v>
      </c>
      <c r="I156" t="s">
        <v>2849</v>
      </c>
      <c r="J156" t="s">
        <v>2721</v>
      </c>
    </row>
    <row r="157" spans="1:10">
      <c r="A157" t="s">
        <v>2848</v>
      </c>
      <c r="B157" t="s">
        <v>231</v>
      </c>
      <c r="C157" s="2" t="s">
        <v>250</v>
      </c>
      <c r="E157">
        <v>63584.65</v>
      </c>
      <c r="G157">
        <v>0.05</v>
      </c>
      <c r="I157" t="s">
        <v>2850</v>
      </c>
      <c r="J157" t="s">
        <v>2721</v>
      </c>
    </row>
    <row r="158" spans="1:10">
      <c r="A158" t="s">
        <v>2848</v>
      </c>
      <c r="B158" t="s">
        <v>231</v>
      </c>
      <c r="C158" s="2" t="s">
        <v>248</v>
      </c>
      <c r="E158">
        <v>64472.35</v>
      </c>
      <c r="G158">
        <v>0.03</v>
      </c>
      <c r="H158">
        <v>0</v>
      </c>
      <c r="I158">
        <v>100</v>
      </c>
      <c r="J158" t="s">
        <v>2721</v>
      </c>
    </row>
    <row r="159" spans="1:10">
      <c r="A159" t="s">
        <v>2848</v>
      </c>
      <c r="B159" t="s">
        <v>209</v>
      </c>
      <c r="C159" s="2" t="s">
        <v>249</v>
      </c>
      <c r="E159">
        <v>64657.62</v>
      </c>
      <c r="G159">
        <v>0.06</v>
      </c>
      <c r="I159" t="s">
        <v>2851</v>
      </c>
      <c r="J159" t="s">
        <v>2721</v>
      </c>
    </row>
    <row r="160" spans="1:10">
      <c r="A160" t="s">
        <v>2848</v>
      </c>
      <c r="B160" t="s">
        <v>209</v>
      </c>
      <c r="C160" s="2" t="s">
        <v>250</v>
      </c>
      <c r="E160">
        <v>65259.93</v>
      </c>
      <c r="G160">
        <v>0.11</v>
      </c>
      <c r="I160" t="s">
        <v>2852</v>
      </c>
      <c r="J160" t="s">
        <v>2721</v>
      </c>
    </row>
    <row r="161" spans="1:10">
      <c r="A161" t="s">
        <v>2853</v>
      </c>
      <c r="B161" t="s">
        <v>209</v>
      </c>
      <c r="C161" s="2" t="s">
        <v>249</v>
      </c>
      <c r="E161">
        <v>67142.679999999993</v>
      </c>
      <c r="G161">
        <v>0.11</v>
      </c>
      <c r="H161">
        <v>0.69</v>
      </c>
      <c r="I161" t="s">
        <v>2854</v>
      </c>
      <c r="J161" t="s">
        <v>2721</v>
      </c>
    </row>
    <row r="162" spans="1:10">
      <c r="A162" t="s">
        <v>2853</v>
      </c>
      <c r="B162" t="s">
        <v>209</v>
      </c>
      <c r="C162" s="2" t="s">
        <v>250</v>
      </c>
      <c r="E162">
        <v>67972.02</v>
      </c>
      <c r="G162">
        <v>0.05</v>
      </c>
      <c r="I162" t="s">
        <v>2855</v>
      </c>
      <c r="J162" t="s">
        <v>2721</v>
      </c>
    </row>
    <row r="163" spans="1:10">
      <c r="A163" t="s">
        <v>2856</v>
      </c>
      <c r="B163" t="s">
        <v>213</v>
      </c>
      <c r="C163" s="2" t="s">
        <v>250</v>
      </c>
      <c r="E163">
        <v>70281.2</v>
      </c>
      <c r="G163">
        <v>0.5</v>
      </c>
      <c r="I163" t="s">
        <v>2718</v>
      </c>
      <c r="J163" t="s">
        <v>2721</v>
      </c>
    </row>
    <row r="164" spans="1:10">
      <c r="A164" t="s">
        <v>2856</v>
      </c>
      <c r="B164" t="s">
        <v>213</v>
      </c>
      <c r="C164" s="2" t="s">
        <v>248</v>
      </c>
      <c r="E164">
        <v>71002.2</v>
      </c>
      <c r="G164">
        <v>0.9</v>
      </c>
      <c r="I164" t="s">
        <v>2718</v>
      </c>
      <c r="J164" t="s">
        <v>2721</v>
      </c>
    </row>
    <row r="165" spans="1:10">
      <c r="A165" t="s">
        <v>2856</v>
      </c>
      <c r="B165" t="s">
        <v>214</v>
      </c>
      <c r="C165" s="2" t="s">
        <v>251</v>
      </c>
      <c r="E165">
        <v>70336.990000000005</v>
      </c>
      <c r="G165">
        <v>7.0000000000000007E-2</v>
      </c>
      <c r="I165" t="s">
        <v>2718</v>
      </c>
      <c r="J165" t="s">
        <v>2721</v>
      </c>
    </row>
    <row r="166" spans="1:10">
      <c r="A166" t="s">
        <v>2856</v>
      </c>
      <c r="B166" t="s">
        <v>214</v>
      </c>
      <c r="C166" s="2" t="s">
        <v>249</v>
      </c>
      <c r="E166">
        <v>70414.539999999994</v>
      </c>
      <c r="G166">
        <v>7.0000000000000007E-2</v>
      </c>
      <c r="I166" t="s">
        <v>2718</v>
      </c>
      <c r="J166" t="s">
        <v>2721</v>
      </c>
    </row>
    <row r="167" spans="1:10">
      <c r="A167" t="s">
        <v>2856</v>
      </c>
      <c r="B167" t="s">
        <v>216</v>
      </c>
      <c r="C167" s="2" t="s">
        <v>251</v>
      </c>
      <c r="E167">
        <v>70441.62</v>
      </c>
      <c r="G167">
        <v>7.0000000000000007E-2</v>
      </c>
      <c r="H167">
        <v>1.43</v>
      </c>
      <c r="I167" t="s">
        <v>2718</v>
      </c>
      <c r="J167" t="s">
        <v>2721</v>
      </c>
    </row>
    <row r="168" spans="1:10">
      <c r="A168" t="s">
        <v>2856</v>
      </c>
      <c r="B168" t="s">
        <v>216</v>
      </c>
      <c r="C168" s="2" t="s">
        <v>249</v>
      </c>
      <c r="E168">
        <v>70561.3</v>
      </c>
      <c r="G168">
        <v>0.7</v>
      </c>
      <c r="I168" t="s">
        <v>2718</v>
      </c>
      <c r="J168" t="s">
        <v>2721</v>
      </c>
    </row>
    <row r="169" spans="1:10">
      <c r="A169" t="s">
        <v>2856</v>
      </c>
      <c r="B169" t="s">
        <v>216</v>
      </c>
      <c r="C169" s="2" t="s">
        <v>250</v>
      </c>
      <c r="E169">
        <v>71029.81</v>
      </c>
      <c r="G169">
        <v>0.05</v>
      </c>
      <c r="I169" t="s">
        <v>2718</v>
      </c>
      <c r="J169" t="s">
        <v>2721</v>
      </c>
    </row>
    <row r="170" spans="1:10">
      <c r="A170" t="s">
        <v>2856</v>
      </c>
      <c r="B170" t="s">
        <v>216</v>
      </c>
      <c r="C170" s="2" t="s">
        <v>248</v>
      </c>
      <c r="E170">
        <v>72601.600000000006</v>
      </c>
      <c r="G170">
        <v>1.1000000000000001</v>
      </c>
      <c r="I170" t="s">
        <v>2718</v>
      </c>
      <c r="J170" t="s">
        <v>2719</v>
      </c>
    </row>
    <row r="171" spans="1:10">
      <c r="A171" t="s">
        <v>2857</v>
      </c>
      <c r="B171" t="s">
        <v>595</v>
      </c>
      <c r="C171" s="2" t="s">
        <v>250</v>
      </c>
      <c r="E171">
        <v>70853.37</v>
      </c>
      <c r="G171">
        <v>0.04</v>
      </c>
      <c r="I171" t="s">
        <v>2718</v>
      </c>
      <c r="J171" t="s">
        <v>2721</v>
      </c>
    </row>
    <row r="172" spans="1:10">
      <c r="A172" t="s">
        <v>2857</v>
      </c>
      <c r="B172" t="s">
        <v>595</v>
      </c>
      <c r="C172" s="2" t="s">
        <v>248</v>
      </c>
      <c r="E172">
        <v>72151.490000000005</v>
      </c>
      <c r="G172">
        <v>0.11</v>
      </c>
      <c r="I172" t="s">
        <v>2718</v>
      </c>
      <c r="J172" t="s">
        <v>2719</v>
      </c>
    </row>
    <row r="173" spans="1:10">
      <c r="A173" t="s">
        <v>2857</v>
      </c>
      <c r="B173" t="s">
        <v>206</v>
      </c>
      <c r="C173" s="2" t="s">
        <v>248</v>
      </c>
      <c r="E173">
        <v>70853.710000000006</v>
      </c>
      <c r="G173">
        <v>0.23</v>
      </c>
      <c r="I173" t="s">
        <v>2718</v>
      </c>
      <c r="J173" t="s">
        <v>2721</v>
      </c>
    </row>
    <row r="174" spans="1:10">
      <c r="A174" t="s">
        <v>2857</v>
      </c>
      <c r="B174" t="s">
        <v>594</v>
      </c>
      <c r="C174" s="2" t="s">
        <v>252</v>
      </c>
      <c r="E174">
        <v>70859.5</v>
      </c>
      <c r="G174">
        <v>0.06</v>
      </c>
      <c r="I174" t="s">
        <v>2718</v>
      </c>
      <c r="J174" t="s">
        <v>2721</v>
      </c>
    </row>
    <row r="175" spans="1:10">
      <c r="A175" t="s">
        <v>2857</v>
      </c>
      <c r="B175" t="s">
        <v>594</v>
      </c>
      <c r="C175" s="2" t="s">
        <v>251</v>
      </c>
      <c r="E175">
        <v>72016.820000000007</v>
      </c>
      <c r="G175">
        <v>0.05</v>
      </c>
      <c r="I175" t="s">
        <v>2718</v>
      </c>
      <c r="J175" t="s">
        <v>2721</v>
      </c>
    </row>
    <row r="176" spans="1:10">
      <c r="A176" t="s">
        <v>2856</v>
      </c>
      <c r="B176" t="s">
        <v>219</v>
      </c>
      <c r="C176" s="2" t="s">
        <v>249</v>
      </c>
      <c r="E176">
        <v>70959.839999999997</v>
      </c>
      <c r="G176">
        <v>0.05</v>
      </c>
      <c r="I176" t="s">
        <v>2718</v>
      </c>
      <c r="J176" t="s">
        <v>2721</v>
      </c>
    </row>
    <row r="177" spans="1:10">
      <c r="A177" t="s">
        <v>2856</v>
      </c>
      <c r="B177" t="s">
        <v>219</v>
      </c>
      <c r="C177" s="2" t="s">
        <v>251</v>
      </c>
      <c r="E177">
        <v>71613.97</v>
      </c>
      <c r="G177">
        <v>0.08</v>
      </c>
      <c r="I177" t="s">
        <v>2718</v>
      </c>
      <c r="J177" t="s">
        <v>2721</v>
      </c>
    </row>
    <row r="178" spans="1:10">
      <c r="A178" t="s">
        <v>2857</v>
      </c>
      <c r="B178" t="s">
        <v>665</v>
      </c>
      <c r="C178" s="2" t="s">
        <v>250</v>
      </c>
      <c r="E178">
        <v>70998.12</v>
      </c>
      <c r="G178">
        <v>0.04</v>
      </c>
      <c r="I178" t="s">
        <v>2718</v>
      </c>
      <c r="J178" t="s">
        <v>2719</v>
      </c>
    </row>
    <row r="179" spans="1:10">
      <c r="A179" t="s">
        <v>2857</v>
      </c>
      <c r="B179" t="s">
        <v>209</v>
      </c>
      <c r="C179" s="2" t="s">
        <v>249</v>
      </c>
      <c r="E179">
        <v>71098.2</v>
      </c>
      <c r="G179">
        <v>0.04</v>
      </c>
      <c r="I179" t="s">
        <v>2718</v>
      </c>
      <c r="J179" t="s">
        <v>2721</v>
      </c>
    </row>
    <row r="180" spans="1:10">
      <c r="A180" t="s">
        <v>2857</v>
      </c>
      <c r="B180" t="s">
        <v>209</v>
      </c>
      <c r="C180" s="2" t="s">
        <v>250</v>
      </c>
      <c r="E180">
        <v>72104.990000000005</v>
      </c>
      <c r="G180">
        <v>0.1</v>
      </c>
      <c r="I180" t="s">
        <v>2718</v>
      </c>
      <c r="J180" t="s">
        <v>2721</v>
      </c>
    </row>
    <row r="181" spans="1:10">
      <c r="A181" t="s">
        <v>2857</v>
      </c>
      <c r="B181" t="s">
        <v>577</v>
      </c>
      <c r="C181" s="2" t="s">
        <v>251</v>
      </c>
      <c r="E181">
        <v>71127.820000000007</v>
      </c>
      <c r="G181">
        <v>0.04</v>
      </c>
      <c r="I181" t="s">
        <v>2718</v>
      </c>
      <c r="J181" t="s">
        <v>2721</v>
      </c>
    </row>
    <row r="182" spans="1:10">
      <c r="A182" t="s">
        <v>2857</v>
      </c>
      <c r="B182" t="s">
        <v>577</v>
      </c>
      <c r="C182" s="2" t="s">
        <v>249</v>
      </c>
      <c r="E182">
        <v>72151.19</v>
      </c>
      <c r="G182">
        <v>0.05</v>
      </c>
      <c r="H182">
        <v>1.1000000000000001</v>
      </c>
      <c r="I182" t="s">
        <v>2718</v>
      </c>
      <c r="J182" t="s">
        <v>2721</v>
      </c>
    </row>
    <row r="183" spans="1:10">
      <c r="A183" t="s">
        <v>2857</v>
      </c>
      <c r="B183" t="s">
        <v>651</v>
      </c>
      <c r="C183" s="2" t="s">
        <v>1702</v>
      </c>
      <c r="E183">
        <v>71130.679999999993</v>
      </c>
      <c r="G183">
        <v>0.2</v>
      </c>
      <c r="I183" t="s">
        <v>2718</v>
      </c>
      <c r="J183" t="s">
        <v>2721</v>
      </c>
    </row>
    <row r="184" spans="1:10">
      <c r="A184" t="s">
        <v>2857</v>
      </c>
      <c r="B184" t="s">
        <v>651</v>
      </c>
      <c r="C184" s="2" t="s">
        <v>252</v>
      </c>
      <c r="E184">
        <v>71978.69</v>
      </c>
      <c r="G184">
        <v>0.1</v>
      </c>
      <c r="I184" t="s">
        <v>2718</v>
      </c>
      <c r="J184" t="s">
        <v>2721</v>
      </c>
    </row>
    <row r="185" spans="1:10">
      <c r="A185" t="s">
        <v>2857</v>
      </c>
      <c r="B185" t="s">
        <v>651</v>
      </c>
      <c r="C185" s="2" t="s">
        <v>251</v>
      </c>
      <c r="E185">
        <v>73102.740000000005</v>
      </c>
      <c r="G185">
        <v>0.06</v>
      </c>
      <c r="I185" t="s">
        <v>2718</v>
      </c>
      <c r="J185" t="s">
        <v>2719</v>
      </c>
    </row>
    <row r="186" spans="1:10">
      <c r="A186" t="s">
        <v>2857</v>
      </c>
      <c r="B186" t="s">
        <v>651</v>
      </c>
      <c r="C186" s="2" t="s">
        <v>249</v>
      </c>
      <c r="E186">
        <v>73198.77</v>
      </c>
      <c r="G186">
        <v>0.05</v>
      </c>
      <c r="I186" t="s">
        <v>2718</v>
      </c>
      <c r="J186" t="s">
        <v>2721</v>
      </c>
    </row>
    <row r="187" spans="1:10">
      <c r="A187" t="s">
        <v>2857</v>
      </c>
      <c r="B187" t="s">
        <v>586</v>
      </c>
      <c r="C187" s="2" t="s">
        <v>249</v>
      </c>
      <c r="E187">
        <v>71178.179999999993</v>
      </c>
      <c r="G187">
        <v>0.03</v>
      </c>
      <c r="I187" t="s">
        <v>2718</v>
      </c>
      <c r="J187" t="s">
        <v>2721</v>
      </c>
    </row>
    <row r="188" spans="1:10">
      <c r="A188" t="s">
        <v>2857</v>
      </c>
      <c r="B188" t="s">
        <v>586</v>
      </c>
      <c r="C188" s="2" t="s">
        <v>248</v>
      </c>
      <c r="E188">
        <v>71882.92</v>
      </c>
      <c r="G188">
        <v>0.1</v>
      </c>
      <c r="I188" t="s">
        <v>2718</v>
      </c>
      <c r="J188" t="s">
        <v>2721</v>
      </c>
    </row>
    <row r="189" spans="1:10">
      <c r="A189" t="s">
        <v>2857</v>
      </c>
      <c r="B189" t="s">
        <v>586</v>
      </c>
      <c r="C189" s="2" t="s">
        <v>250</v>
      </c>
      <c r="E189">
        <v>71927.28</v>
      </c>
      <c r="G189">
        <v>0.04</v>
      </c>
      <c r="I189" t="s">
        <v>2718</v>
      </c>
      <c r="J189" t="s">
        <v>2721</v>
      </c>
    </row>
    <row r="190" spans="1:10">
      <c r="A190" t="s">
        <v>2857</v>
      </c>
      <c r="B190" t="s">
        <v>231</v>
      </c>
      <c r="C190" s="2" t="s">
        <v>251</v>
      </c>
      <c r="E190">
        <v>71268.23</v>
      </c>
      <c r="G190">
        <v>0.04</v>
      </c>
      <c r="H190">
        <v>1.48</v>
      </c>
      <c r="I190" t="s">
        <v>2718</v>
      </c>
      <c r="J190" t="s">
        <v>2721</v>
      </c>
    </row>
    <row r="191" spans="1:10">
      <c r="A191" t="s">
        <v>2857</v>
      </c>
      <c r="B191" t="s">
        <v>231</v>
      </c>
      <c r="C191" s="2" t="s">
        <v>249</v>
      </c>
      <c r="E191">
        <v>72066.98</v>
      </c>
      <c r="G191">
        <v>0.04</v>
      </c>
      <c r="H191">
        <v>1.43</v>
      </c>
      <c r="I191" t="s">
        <v>2718</v>
      </c>
      <c r="J191" t="s">
        <v>2721</v>
      </c>
    </row>
    <row r="192" spans="1:10">
      <c r="A192" t="s">
        <v>2857</v>
      </c>
      <c r="B192" t="s">
        <v>231</v>
      </c>
      <c r="C192" s="2" t="s">
        <v>250</v>
      </c>
      <c r="E192">
        <v>73104.899999999994</v>
      </c>
      <c r="G192">
        <v>0.06</v>
      </c>
      <c r="I192" t="s">
        <v>2718</v>
      </c>
      <c r="J192" t="s">
        <v>2721</v>
      </c>
    </row>
    <row r="193" spans="1:10">
      <c r="A193" t="s">
        <v>2857</v>
      </c>
      <c r="B193" t="s">
        <v>576</v>
      </c>
      <c r="C193" s="2" t="s">
        <v>252</v>
      </c>
      <c r="E193">
        <v>71290.570000000007</v>
      </c>
      <c r="G193">
        <v>0.05</v>
      </c>
      <c r="I193" t="s">
        <v>2718</v>
      </c>
      <c r="J193" t="s">
        <v>2721</v>
      </c>
    </row>
    <row r="194" spans="1:10">
      <c r="A194" t="s">
        <v>2857</v>
      </c>
      <c r="B194" t="s">
        <v>576</v>
      </c>
      <c r="C194" s="2" t="s">
        <v>251</v>
      </c>
      <c r="E194">
        <v>72093.09</v>
      </c>
      <c r="G194">
        <v>0.04</v>
      </c>
      <c r="I194" t="s">
        <v>2718</v>
      </c>
      <c r="J194" t="s">
        <v>2721</v>
      </c>
    </row>
    <row r="195" spans="1:10">
      <c r="A195" t="s">
        <v>2857</v>
      </c>
      <c r="B195" t="s">
        <v>576</v>
      </c>
      <c r="C195" s="2" t="s">
        <v>249</v>
      </c>
      <c r="E195">
        <v>73304.66</v>
      </c>
      <c r="G195">
        <v>0.04</v>
      </c>
      <c r="I195" t="s">
        <v>2718</v>
      </c>
      <c r="J195" t="s">
        <v>2721</v>
      </c>
    </row>
    <row r="196" spans="1:10">
      <c r="A196" t="s">
        <v>2857</v>
      </c>
      <c r="B196" t="s">
        <v>576</v>
      </c>
      <c r="C196" s="2" t="s">
        <v>250</v>
      </c>
      <c r="E196">
        <v>73316.490000000005</v>
      </c>
      <c r="G196">
        <v>0.04</v>
      </c>
      <c r="I196" t="s">
        <v>2718</v>
      </c>
      <c r="J196" t="s">
        <v>2721</v>
      </c>
    </row>
    <row r="197" spans="1:10">
      <c r="A197" t="s">
        <v>2856</v>
      </c>
      <c r="B197" t="s">
        <v>218</v>
      </c>
      <c r="C197" s="2" t="s">
        <v>249</v>
      </c>
      <c r="E197">
        <v>71745.570000000007</v>
      </c>
      <c r="G197">
        <v>7.0000000000000007E-2</v>
      </c>
      <c r="I197" t="s">
        <v>2718</v>
      </c>
      <c r="J197" t="s">
        <v>2721</v>
      </c>
    </row>
    <row r="198" spans="1:10">
      <c r="A198" t="s">
        <v>2856</v>
      </c>
      <c r="B198" t="s">
        <v>218</v>
      </c>
      <c r="C198" s="2" t="s">
        <v>250</v>
      </c>
      <c r="E198">
        <v>72024.34</v>
      </c>
      <c r="G198">
        <v>7.0000000000000007E-2</v>
      </c>
      <c r="I198" t="s">
        <v>2718</v>
      </c>
      <c r="J198" t="s">
        <v>2721</v>
      </c>
    </row>
    <row r="199" spans="1:10">
      <c r="A199" t="s">
        <v>2856</v>
      </c>
      <c r="B199" t="s">
        <v>211</v>
      </c>
      <c r="C199" s="2" t="s">
        <v>250</v>
      </c>
      <c r="E199">
        <v>71918</v>
      </c>
      <c r="G199">
        <v>0.8</v>
      </c>
      <c r="I199" t="s">
        <v>2718</v>
      </c>
      <c r="J199" t="s">
        <v>2721</v>
      </c>
    </row>
    <row r="200" spans="1:10">
      <c r="A200" t="s">
        <v>2856</v>
      </c>
      <c r="B200" t="s">
        <v>211</v>
      </c>
      <c r="C200" s="2" t="s">
        <v>248</v>
      </c>
      <c r="E200">
        <v>72737.899999999994</v>
      </c>
      <c r="G200">
        <v>1.1000000000000001</v>
      </c>
      <c r="I200" t="s">
        <v>2718</v>
      </c>
      <c r="J200" t="s">
        <v>2721</v>
      </c>
    </row>
    <row r="201" spans="1:10">
      <c r="A201" t="s">
        <v>2856</v>
      </c>
      <c r="B201" t="s">
        <v>291</v>
      </c>
      <c r="C201" s="2" t="s">
        <v>250</v>
      </c>
      <c r="E201">
        <v>71948.7</v>
      </c>
      <c r="G201">
        <v>1</v>
      </c>
      <c r="I201" t="s">
        <v>2718</v>
      </c>
      <c r="J201" t="s">
        <v>2858</v>
      </c>
    </row>
    <row r="202" spans="1:10">
      <c r="A202" t="s">
        <v>2859</v>
      </c>
      <c r="B202" t="s">
        <v>231</v>
      </c>
      <c r="C202" s="2" t="s">
        <v>251</v>
      </c>
      <c r="E202">
        <v>73995.05</v>
      </c>
      <c r="G202">
        <v>0.1</v>
      </c>
      <c r="I202" t="s">
        <v>2718</v>
      </c>
      <c r="J202" t="s">
        <v>2721</v>
      </c>
    </row>
    <row r="203" spans="1:10">
      <c r="A203" t="s">
        <v>2859</v>
      </c>
      <c r="B203" t="s">
        <v>231</v>
      </c>
      <c r="C203" s="2" t="s">
        <v>249</v>
      </c>
      <c r="E203">
        <v>74313.100000000006</v>
      </c>
      <c r="G203">
        <v>0.09</v>
      </c>
      <c r="I203" t="s">
        <v>2718</v>
      </c>
      <c r="J203" t="s">
        <v>2721</v>
      </c>
    </row>
    <row r="204" spans="1:10">
      <c r="A204" t="s">
        <v>2859</v>
      </c>
      <c r="B204" t="s">
        <v>231</v>
      </c>
      <c r="C204" s="2" t="s">
        <v>250</v>
      </c>
      <c r="E204">
        <v>75043.63</v>
      </c>
      <c r="G204">
        <v>0.15</v>
      </c>
      <c r="I204" t="s">
        <v>2718</v>
      </c>
      <c r="J204" t="s">
        <v>2721</v>
      </c>
    </row>
    <row r="205" spans="1:10">
      <c r="A205" t="s">
        <v>2859</v>
      </c>
      <c r="B205" t="s">
        <v>231</v>
      </c>
      <c r="C205" s="2" t="s">
        <v>248</v>
      </c>
      <c r="E205">
        <v>76064.42</v>
      </c>
      <c r="G205">
        <v>0.08</v>
      </c>
      <c r="I205" t="s">
        <v>2718</v>
      </c>
      <c r="J205" t="s">
        <v>2721</v>
      </c>
    </row>
    <row r="206" spans="1:10">
      <c r="A206" t="s">
        <v>2860</v>
      </c>
      <c r="B206" t="s">
        <v>211</v>
      </c>
      <c r="C206" s="2" t="s">
        <v>250</v>
      </c>
      <c r="E206">
        <v>74259.3</v>
      </c>
      <c r="G206">
        <v>0.3</v>
      </c>
      <c r="I206" t="s">
        <v>2718</v>
      </c>
      <c r="J206" t="s">
        <v>2721</v>
      </c>
    </row>
    <row r="207" spans="1:10">
      <c r="A207" t="s">
        <v>2860</v>
      </c>
      <c r="B207" t="s">
        <v>211</v>
      </c>
      <c r="C207" s="2" t="s">
        <v>248</v>
      </c>
      <c r="E207">
        <v>75091.27</v>
      </c>
      <c r="G207">
        <v>0.08</v>
      </c>
      <c r="I207" t="s">
        <v>2718</v>
      </c>
      <c r="J207" t="s">
        <v>2721</v>
      </c>
    </row>
    <row r="208" spans="1:10">
      <c r="A208" t="s">
        <v>2860</v>
      </c>
      <c r="B208" t="s">
        <v>219</v>
      </c>
      <c r="C208" s="2" t="s">
        <v>251</v>
      </c>
      <c r="E208">
        <v>74342.02</v>
      </c>
      <c r="G208">
        <v>0.08</v>
      </c>
      <c r="I208" t="s">
        <v>2718</v>
      </c>
      <c r="J208" t="s">
        <v>2721</v>
      </c>
    </row>
    <row r="209" spans="1:10">
      <c r="A209" t="s">
        <v>2860</v>
      </c>
      <c r="B209" t="s">
        <v>219</v>
      </c>
      <c r="C209" s="2" t="s">
        <v>249</v>
      </c>
      <c r="E209">
        <v>74924.490000000005</v>
      </c>
      <c r="G209">
        <v>0.08</v>
      </c>
      <c r="I209" t="s">
        <v>2718</v>
      </c>
      <c r="J209" t="s">
        <v>2721</v>
      </c>
    </row>
    <row r="210" spans="1:10">
      <c r="A210" t="s">
        <v>2860</v>
      </c>
      <c r="B210" t="s">
        <v>218</v>
      </c>
      <c r="C210" s="2" t="s">
        <v>2861</v>
      </c>
      <c r="E210">
        <v>74507.81</v>
      </c>
      <c r="G210">
        <v>0.06</v>
      </c>
      <c r="I210" t="s">
        <v>2718</v>
      </c>
      <c r="J210" t="s">
        <v>2721</v>
      </c>
    </row>
    <row r="211" spans="1:10">
      <c r="A211" t="s">
        <v>2862</v>
      </c>
      <c r="B211" t="s">
        <v>595</v>
      </c>
      <c r="C211" s="2" t="s">
        <v>248</v>
      </c>
      <c r="E211">
        <v>75109.47</v>
      </c>
      <c r="G211">
        <v>7.0000000000000007E-2</v>
      </c>
      <c r="I211" t="s">
        <v>2718</v>
      </c>
      <c r="J211" t="s">
        <v>2721</v>
      </c>
    </row>
    <row r="212" spans="1:10">
      <c r="A212" t="s">
        <v>2862</v>
      </c>
      <c r="B212" t="s">
        <v>595</v>
      </c>
      <c r="C212" s="2" t="s">
        <v>250</v>
      </c>
      <c r="E212">
        <v>75263.5</v>
      </c>
      <c r="G212">
        <v>0.06</v>
      </c>
      <c r="I212" t="s">
        <v>2718</v>
      </c>
      <c r="J212" t="s">
        <v>2721</v>
      </c>
    </row>
    <row r="213" spans="1:10">
      <c r="A213" t="s">
        <v>2859</v>
      </c>
      <c r="B213" t="s">
        <v>209</v>
      </c>
      <c r="C213" s="2" t="s">
        <v>249</v>
      </c>
      <c r="E213">
        <v>75170.23</v>
      </c>
      <c r="G213">
        <v>0.05</v>
      </c>
      <c r="I213" t="s">
        <v>2718</v>
      </c>
      <c r="J213" t="s">
        <v>2721</v>
      </c>
    </row>
    <row r="214" spans="1:10">
      <c r="A214" t="s">
        <v>2859</v>
      </c>
      <c r="B214" t="s">
        <v>209</v>
      </c>
      <c r="C214" s="2" t="s">
        <v>250</v>
      </c>
      <c r="E214">
        <v>76332.320000000007</v>
      </c>
      <c r="G214">
        <v>0.13</v>
      </c>
      <c r="I214" t="s">
        <v>2718</v>
      </c>
      <c r="J214" t="s">
        <v>2721</v>
      </c>
    </row>
    <row r="215" spans="1:10">
      <c r="A215" t="s">
        <v>2862</v>
      </c>
      <c r="B215" t="s">
        <v>594</v>
      </c>
      <c r="C215" s="2" t="s">
        <v>251</v>
      </c>
      <c r="E215">
        <v>75206.3</v>
      </c>
      <c r="G215">
        <v>0.3</v>
      </c>
      <c r="I215" t="s">
        <v>2718</v>
      </c>
      <c r="J215" t="s">
        <v>2721</v>
      </c>
    </row>
    <row r="216" spans="1:10">
      <c r="A216" t="s">
        <v>2862</v>
      </c>
      <c r="B216" t="s">
        <v>594</v>
      </c>
      <c r="C216" s="2" t="s">
        <v>252</v>
      </c>
      <c r="E216">
        <v>75345.94</v>
      </c>
      <c r="G216">
        <v>0.24</v>
      </c>
      <c r="I216" t="s">
        <v>2718</v>
      </c>
      <c r="J216" t="s">
        <v>2721</v>
      </c>
    </row>
    <row r="217" spans="1:10">
      <c r="A217" t="s">
        <v>2862</v>
      </c>
      <c r="B217" t="s">
        <v>206</v>
      </c>
      <c r="C217" s="2" t="s">
        <v>248</v>
      </c>
      <c r="E217">
        <v>75386.2</v>
      </c>
      <c r="G217">
        <v>0.3</v>
      </c>
      <c r="I217" t="s">
        <v>2718</v>
      </c>
      <c r="J217" t="s">
        <v>2721</v>
      </c>
    </row>
    <row r="218" spans="1:10">
      <c r="A218" t="s">
        <v>2862</v>
      </c>
      <c r="B218" t="s">
        <v>209</v>
      </c>
      <c r="C218" s="2" t="s">
        <v>250</v>
      </c>
      <c r="E218">
        <v>75440.179999999993</v>
      </c>
      <c r="G218">
        <v>0.15</v>
      </c>
      <c r="I218" t="s">
        <v>2718</v>
      </c>
      <c r="J218" t="s">
        <v>2721</v>
      </c>
    </row>
    <row r="219" spans="1:10">
      <c r="A219" t="s">
        <v>2862</v>
      </c>
      <c r="B219" t="s">
        <v>209</v>
      </c>
      <c r="C219" s="2" t="s">
        <v>249</v>
      </c>
      <c r="E219">
        <v>75446.67</v>
      </c>
      <c r="G219">
        <v>0.1</v>
      </c>
      <c r="I219" t="s">
        <v>2718</v>
      </c>
      <c r="J219" t="s">
        <v>2721</v>
      </c>
    </row>
    <row r="220" spans="1:10">
      <c r="A220" t="s">
        <v>2862</v>
      </c>
      <c r="B220" t="s">
        <v>577</v>
      </c>
      <c r="C220" s="2" t="s">
        <v>249</v>
      </c>
      <c r="E220">
        <v>75536.19</v>
      </c>
      <c r="G220">
        <v>0.09</v>
      </c>
      <c r="I220" t="s">
        <v>2718</v>
      </c>
      <c r="J220" t="s">
        <v>2721</v>
      </c>
    </row>
    <row r="221" spans="1:10">
      <c r="A221" t="s">
        <v>2862</v>
      </c>
      <c r="B221" t="s">
        <v>577</v>
      </c>
      <c r="C221" s="2" t="s">
        <v>251</v>
      </c>
      <c r="E221">
        <v>75572.84</v>
      </c>
      <c r="G221">
        <v>0.05</v>
      </c>
      <c r="I221" t="s">
        <v>2718</v>
      </c>
      <c r="J221" t="s">
        <v>2721</v>
      </c>
    </row>
    <row r="222" spans="1:10">
      <c r="A222" t="s">
        <v>2863</v>
      </c>
      <c r="B222" t="s">
        <v>594</v>
      </c>
      <c r="C222" s="2" t="s">
        <v>252</v>
      </c>
      <c r="E222">
        <v>76824.52</v>
      </c>
      <c r="G222">
        <v>0.23</v>
      </c>
      <c r="I222" t="s">
        <v>2718</v>
      </c>
      <c r="J222" t="s">
        <v>2721</v>
      </c>
    </row>
    <row r="223" spans="1:10">
      <c r="A223" t="s">
        <v>2863</v>
      </c>
      <c r="B223" t="s">
        <v>594</v>
      </c>
      <c r="C223" s="2" t="s">
        <v>251</v>
      </c>
      <c r="E223">
        <v>77899.09</v>
      </c>
      <c r="G223">
        <v>0.22</v>
      </c>
      <c r="I223" t="s">
        <v>2718</v>
      </c>
      <c r="J223" t="s">
        <v>2721</v>
      </c>
    </row>
    <row r="224" spans="1:10">
      <c r="A224" t="s">
        <v>2863</v>
      </c>
      <c r="B224" t="s">
        <v>595</v>
      </c>
      <c r="C224" s="2" t="s">
        <v>250</v>
      </c>
      <c r="E224">
        <v>76831.320000000007</v>
      </c>
      <c r="G224">
        <v>0.21</v>
      </c>
      <c r="I224" t="s">
        <v>2718</v>
      </c>
      <c r="J224" t="s">
        <v>2721</v>
      </c>
    </row>
    <row r="225" spans="1:10">
      <c r="A225" t="s">
        <v>2864</v>
      </c>
      <c r="B225" t="s">
        <v>213</v>
      </c>
      <c r="C225" s="2" t="s">
        <v>250</v>
      </c>
      <c r="E225">
        <v>76913</v>
      </c>
      <c r="G225">
        <v>1.2</v>
      </c>
      <c r="I225" t="s">
        <v>2718</v>
      </c>
      <c r="J225" t="s">
        <v>2865</v>
      </c>
    </row>
    <row r="226" spans="1:10">
      <c r="A226" t="s">
        <v>2864</v>
      </c>
      <c r="B226" t="s">
        <v>213</v>
      </c>
      <c r="C226" s="2" t="s">
        <v>248</v>
      </c>
      <c r="E226">
        <v>77683.199999999997</v>
      </c>
      <c r="G226">
        <v>1.2</v>
      </c>
      <c r="I226" t="s">
        <v>2718</v>
      </c>
      <c r="J226" t="s">
        <v>2719</v>
      </c>
    </row>
    <row r="227" spans="1:10">
      <c r="A227" t="s">
        <v>2863</v>
      </c>
      <c r="B227" t="s">
        <v>209</v>
      </c>
      <c r="C227" s="2" t="s">
        <v>249</v>
      </c>
      <c r="E227">
        <v>76949.440000000002</v>
      </c>
      <c r="G227">
        <v>0.15</v>
      </c>
      <c r="I227" t="s">
        <v>2718</v>
      </c>
      <c r="J227" t="s">
        <v>2721</v>
      </c>
    </row>
    <row r="228" spans="1:10">
      <c r="A228" t="s">
        <v>2863</v>
      </c>
      <c r="B228" t="s">
        <v>209</v>
      </c>
      <c r="C228" s="2" t="s">
        <v>250</v>
      </c>
      <c r="E228">
        <v>77933.5</v>
      </c>
      <c r="G228">
        <v>0.4</v>
      </c>
      <c r="I228" t="s">
        <v>2718</v>
      </c>
      <c r="J228" t="s">
        <v>2721</v>
      </c>
    </row>
    <row r="229" spans="1:10">
      <c r="A229" t="s">
        <v>2863</v>
      </c>
      <c r="B229" t="s">
        <v>665</v>
      </c>
      <c r="C229" s="2" t="s">
        <v>250</v>
      </c>
      <c r="E229">
        <v>76959</v>
      </c>
      <c r="G229">
        <v>0.3</v>
      </c>
      <c r="I229" t="s">
        <v>2718</v>
      </c>
      <c r="J229" t="s">
        <v>2719</v>
      </c>
    </row>
    <row r="230" spans="1:10">
      <c r="A230" t="s">
        <v>2863</v>
      </c>
      <c r="B230" t="s">
        <v>577</v>
      </c>
      <c r="C230" s="2" t="s">
        <v>251</v>
      </c>
      <c r="E230">
        <v>76960.23</v>
      </c>
      <c r="G230">
        <v>0.13</v>
      </c>
      <c r="I230" t="s">
        <v>2718</v>
      </c>
      <c r="J230" t="s">
        <v>2721</v>
      </c>
    </row>
    <row r="231" spans="1:10">
      <c r="A231" t="s">
        <v>2863</v>
      </c>
      <c r="B231" t="s">
        <v>577</v>
      </c>
      <c r="C231" s="2" t="s">
        <v>249</v>
      </c>
      <c r="E231">
        <v>77959.34</v>
      </c>
      <c r="G231">
        <v>0.12</v>
      </c>
      <c r="I231" t="s">
        <v>2718</v>
      </c>
      <c r="J231" t="s">
        <v>2721</v>
      </c>
    </row>
    <row r="232" spans="1:10">
      <c r="A232" t="s">
        <v>2863</v>
      </c>
      <c r="B232" t="s">
        <v>651</v>
      </c>
      <c r="C232" s="2" t="s">
        <v>1702</v>
      </c>
      <c r="E232">
        <v>77014.2</v>
      </c>
      <c r="G232">
        <v>0.3</v>
      </c>
      <c r="I232" t="s">
        <v>2718</v>
      </c>
      <c r="J232" t="s">
        <v>2721</v>
      </c>
    </row>
    <row r="233" spans="1:10">
      <c r="A233" t="s">
        <v>2863</v>
      </c>
      <c r="B233" t="s">
        <v>651</v>
      </c>
      <c r="C233" s="2" t="s">
        <v>252</v>
      </c>
      <c r="E233">
        <v>77853.94</v>
      </c>
      <c r="G233">
        <v>0.1</v>
      </c>
      <c r="I233" t="s">
        <v>2718</v>
      </c>
      <c r="J233" t="s">
        <v>2721</v>
      </c>
    </row>
    <row r="234" spans="1:10">
      <c r="A234" t="s">
        <v>2863</v>
      </c>
      <c r="B234" t="s">
        <v>651</v>
      </c>
      <c r="C234" s="2" t="s">
        <v>251</v>
      </c>
      <c r="E234">
        <v>78988.2</v>
      </c>
      <c r="G234">
        <v>0.3</v>
      </c>
      <c r="I234" t="s">
        <v>2718</v>
      </c>
      <c r="J234" t="s">
        <v>2721</v>
      </c>
    </row>
    <row r="235" spans="1:10">
      <c r="A235" t="s">
        <v>2863</v>
      </c>
      <c r="B235" t="s">
        <v>651</v>
      </c>
      <c r="C235" s="2" t="s">
        <v>249</v>
      </c>
      <c r="E235">
        <v>79053.38</v>
      </c>
      <c r="G235">
        <v>0.12</v>
      </c>
      <c r="I235" t="s">
        <v>2718</v>
      </c>
      <c r="J235" t="s">
        <v>2721</v>
      </c>
    </row>
    <row r="236" spans="1:10">
      <c r="A236" t="s">
        <v>2863</v>
      </c>
      <c r="B236" t="s">
        <v>586</v>
      </c>
      <c r="C236" s="2" t="s">
        <v>249</v>
      </c>
      <c r="E236">
        <v>77030.289999999994</v>
      </c>
      <c r="G236">
        <v>0.12</v>
      </c>
      <c r="I236" t="s">
        <v>2718</v>
      </c>
      <c r="J236" t="s">
        <v>2721</v>
      </c>
    </row>
    <row r="237" spans="1:10">
      <c r="A237" t="s">
        <v>2863</v>
      </c>
      <c r="B237" t="s">
        <v>586</v>
      </c>
      <c r="C237" s="2" t="s">
        <v>248</v>
      </c>
      <c r="E237">
        <v>77814.7</v>
      </c>
      <c r="G237">
        <v>0.3</v>
      </c>
      <c r="I237" t="s">
        <v>2718</v>
      </c>
      <c r="J237" t="s">
        <v>2721</v>
      </c>
    </row>
    <row r="238" spans="1:10">
      <c r="A238" t="s">
        <v>2863</v>
      </c>
      <c r="B238" t="s">
        <v>586</v>
      </c>
      <c r="C238" s="2" t="s">
        <v>250</v>
      </c>
      <c r="E238">
        <v>77841.100000000006</v>
      </c>
      <c r="G238">
        <v>0.16</v>
      </c>
      <c r="I238" t="s">
        <v>2718</v>
      </c>
      <c r="J238" t="s">
        <v>2721</v>
      </c>
    </row>
    <row r="239" spans="1:10">
      <c r="A239" t="s">
        <v>2863</v>
      </c>
      <c r="B239" t="s">
        <v>231</v>
      </c>
      <c r="C239" s="2" t="s">
        <v>251</v>
      </c>
      <c r="E239">
        <v>77068.13</v>
      </c>
      <c r="G239">
        <v>0.13</v>
      </c>
      <c r="I239" t="s">
        <v>2718</v>
      </c>
      <c r="J239" t="s">
        <v>2721</v>
      </c>
    </row>
    <row r="240" spans="1:10">
      <c r="A240" t="s">
        <v>2863</v>
      </c>
      <c r="B240" t="s">
        <v>231</v>
      </c>
      <c r="C240" s="2" t="s">
        <v>249</v>
      </c>
      <c r="E240">
        <v>77905.37</v>
      </c>
      <c r="G240">
        <v>0.1</v>
      </c>
      <c r="I240" t="s">
        <v>2718</v>
      </c>
      <c r="J240" t="s">
        <v>2721</v>
      </c>
    </row>
    <row r="241" spans="1:10">
      <c r="A241" t="s">
        <v>2863</v>
      </c>
      <c r="B241" t="s">
        <v>231</v>
      </c>
      <c r="C241" s="2" t="s">
        <v>250</v>
      </c>
      <c r="E241">
        <v>79003.460000000006</v>
      </c>
      <c r="G241">
        <v>0.14000000000000001</v>
      </c>
      <c r="I241" t="s">
        <v>2718</v>
      </c>
      <c r="J241" t="s">
        <v>2721</v>
      </c>
    </row>
    <row r="242" spans="1:10">
      <c r="A242" t="s">
        <v>2863</v>
      </c>
      <c r="B242" t="s">
        <v>576</v>
      </c>
      <c r="C242" s="2" t="s">
        <v>252</v>
      </c>
      <c r="E242">
        <v>77080.490000000005</v>
      </c>
      <c r="G242">
        <v>0.15</v>
      </c>
      <c r="I242" t="s">
        <v>2718</v>
      </c>
      <c r="J242" t="s">
        <v>2721</v>
      </c>
    </row>
    <row r="243" spans="1:10">
      <c r="A243" t="s">
        <v>2863</v>
      </c>
      <c r="B243" t="s">
        <v>576</v>
      </c>
      <c r="C243" s="2" t="s">
        <v>251</v>
      </c>
      <c r="E243">
        <v>77919.350000000006</v>
      </c>
      <c r="G243">
        <v>0.1</v>
      </c>
      <c r="I243" t="s">
        <v>2718</v>
      </c>
      <c r="J243" t="s">
        <v>2721</v>
      </c>
    </row>
    <row r="244" spans="1:10">
      <c r="A244" t="s">
        <v>2863</v>
      </c>
      <c r="B244" t="s">
        <v>576</v>
      </c>
      <c r="C244" s="2" t="s">
        <v>249</v>
      </c>
      <c r="E244">
        <v>79116.789999999994</v>
      </c>
      <c r="G244">
        <v>0.14000000000000001</v>
      </c>
      <c r="I244" t="s">
        <v>2718</v>
      </c>
      <c r="J244" t="s">
        <v>2721</v>
      </c>
    </row>
    <row r="245" spans="1:10">
      <c r="A245" t="s">
        <v>2863</v>
      </c>
      <c r="B245" t="s">
        <v>576</v>
      </c>
      <c r="C245" s="2" t="s">
        <v>250</v>
      </c>
      <c r="E245">
        <v>79119.17</v>
      </c>
      <c r="G245">
        <v>0.17</v>
      </c>
      <c r="I245" t="s">
        <v>2718</v>
      </c>
      <c r="J245" t="s">
        <v>2721</v>
      </c>
    </row>
    <row r="246" spans="1:10">
      <c r="A246" t="s">
        <v>2866</v>
      </c>
      <c r="B246" t="s">
        <v>291</v>
      </c>
      <c r="C246" s="2" t="s">
        <v>2783</v>
      </c>
      <c r="E246">
        <v>77286.899999999994</v>
      </c>
      <c r="G246">
        <v>1.2</v>
      </c>
      <c r="I246" t="s">
        <v>2718</v>
      </c>
      <c r="J246" t="s">
        <v>2719</v>
      </c>
    </row>
    <row r="247" spans="1:10">
      <c r="A247" t="s">
        <v>2866</v>
      </c>
      <c r="B247" t="s">
        <v>291</v>
      </c>
      <c r="C247" s="2" t="s">
        <v>2783</v>
      </c>
      <c r="E247">
        <v>77297.100000000006</v>
      </c>
      <c r="G247">
        <v>1.2</v>
      </c>
      <c r="I247" t="s">
        <v>2718</v>
      </c>
      <c r="J247" t="s">
        <v>2719</v>
      </c>
    </row>
    <row r="248" spans="1:10">
      <c r="A248" t="s">
        <v>2867</v>
      </c>
      <c r="B248" t="s">
        <v>291</v>
      </c>
      <c r="C248" s="2" t="s">
        <v>2783</v>
      </c>
      <c r="E248">
        <v>77622.899999999994</v>
      </c>
      <c r="G248">
        <v>1.2</v>
      </c>
      <c r="I248" t="s">
        <v>2718</v>
      </c>
      <c r="J248" t="s">
        <v>2719</v>
      </c>
    </row>
    <row r="249" spans="1:10">
      <c r="A249" t="s">
        <v>2868</v>
      </c>
      <c r="B249" t="s">
        <v>231</v>
      </c>
      <c r="C249" s="2" t="s">
        <v>251</v>
      </c>
      <c r="E249">
        <v>78261.179999999993</v>
      </c>
      <c r="G249">
        <v>0.11</v>
      </c>
      <c r="I249" t="s">
        <v>2718</v>
      </c>
      <c r="J249" t="s">
        <v>2721</v>
      </c>
    </row>
    <row r="250" spans="1:10">
      <c r="A250" t="s">
        <v>2868</v>
      </c>
      <c r="B250" t="s">
        <v>231</v>
      </c>
      <c r="C250" s="2" t="s">
        <v>249</v>
      </c>
      <c r="E250">
        <v>78486.490000000005</v>
      </c>
      <c r="G250">
        <v>0.16</v>
      </c>
      <c r="I250" t="s">
        <v>2718</v>
      </c>
      <c r="J250" t="s">
        <v>2721</v>
      </c>
    </row>
    <row r="251" spans="1:10">
      <c r="A251" t="s">
        <v>2868</v>
      </c>
      <c r="B251" t="s">
        <v>231</v>
      </c>
      <c r="C251" s="2" t="s">
        <v>250</v>
      </c>
      <c r="E251">
        <v>79257.95</v>
      </c>
      <c r="G251">
        <v>0.17</v>
      </c>
      <c r="I251" t="s">
        <v>2718</v>
      </c>
      <c r="J251" t="s">
        <v>2721</v>
      </c>
    </row>
    <row r="252" spans="1:10">
      <c r="A252" t="s">
        <v>2868</v>
      </c>
      <c r="B252" t="s">
        <v>231</v>
      </c>
      <c r="C252" s="2" t="s">
        <v>248</v>
      </c>
      <c r="E252">
        <v>80330.87</v>
      </c>
      <c r="G252">
        <v>0.2</v>
      </c>
      <c r="I252" t="s">
        <v>2718</v>
      </c>
      <c r="J252" t="s">
        <v>2721</v>
      </c>
    </row>
    <row r="253" spans="1:10">
      <c r="A253" t="s">
        <v>2869</v>
      </c>
      <c r="B253" t="s">
        <v>209</v>
      </c>
      <c r="C253" s="2" t="s">
        <v>249</v>
      </c>
      <c r="E253">
        <v>78349.759999999995</v>
      </c>
      <c r="G253">
        <v>0.19</v>
      </c>
      <c r="I253" t="s">
        <v>2718</v>
      </c>
      <c r="J253" t="s">
        <v>2721</v>
      </c>
    </row>
    <row r="254" spans="1:10">
      <c r="A254" t="s">
        <v>2869</v>
      </c>
      <c r="B254" t="s">
        <v>209</v>
      </c>
      <c r="C254" s="2" t="s">
        <v>250</v>
      </c>
      <c r="E254">
        <v>78577.89</v>
      </c>
      <c r="G254">
        <v>0.18</v>
      </c>
      <c r="I254" t="s">
        <v>2718</v>
      </c>
      <c r="J254" t="s">
        <v>2721</v>
      </c>
    </row>
    <row r="255" spans="1:10">
      <c r="A255" t="s">
        <v>2864</v>
      </c>
      <c r="B255" t="s">
        <v>216</v>
      </c>
      <c r="C255" s="2" t="s">
        <v>248</v>
      </c>
      <c r="E255">
        <v>78892.399999999994</v>
      </c>
      <c r="G255">
        <v>1.2</v>
      </c>
      <c r="I255" t="s">
        <v>2718</v>
      </c>
      <c r="J255" t="s">
        <v>2721</v>
      </c>
    </row>
    <row r="256" spans="1:10">
      <c r="A256" t="s">
        <v>2864</v>
      </c>
      <c r="B256" t="s">
        <v>211</v>
      </c>
      <c r="C256" s="2" t="s">
        <v>248</v>
      </c>
      <c r="E256">
        <v>78920.399999999994</v>
      </c>
      <c r="G256">
        <v>1.2</v>
      </c>
      <c r="I256" t="s">
        <v>2718</v>
      </c>
      <c r="J256" t="s">
        <v>2719</v>
      </c>
    </row>
    <row r="257" spans="1:10">
      <c r="A257" t="s">
        <v>2868</v>
      </c>
      <c r="B257" t="s">
        <v>209</v>
      </c>
      <c r="C257" s="2" t="s">
        <v>249</v>
      </c>
      <c r="E257">
        <v>79267.929999999993</v>
      </c>
      <c r="G257">
        <v>0.14000000000000001</v>
      </c>
      <c r="I257" t="s">
        <v>2718</v>
      </c>
      <c r="J257" t="s">
        <v>2721</v>
      </c>
    </row>
    <row r="258" spans="1:10">
      <c r="A258" t="s">
        <v>2868</v>
      </c>
      <c r="B258" t="s">
        <v>209</v>
      </c>
      <c r="C258" s="2" t="s">
        <v>250</v>
      </c>
      <c r="E258">
        <v>80456.399999999994</v>
      </c>
      <c r="G258">
        <v>0.8</v>
      </c>
      <c r="I258" t="s">
        <v>2718</v>
      </c>
      <c r="J258" t="s">
        <v>2719</v>
      </c>
    </row>
    <row r="259" spans="1:10">
      <c r="A259" t="s">
        <v>2870</v>
      </c>
      <c r="B259" t="s">
        <v>2871</v>
      </c>
      <c r="C259" s="2" t="s">
        <v>250</v>
      </c>
      <c r="E259">
        <v>79357.5</v>
      </c>
      <c r="G259">
        <v>1.3</v>
      </c>
      <c r="I259" t="s">
        <v>2718</v>
      </c>
      <c r="J259" t="s">
        <v>2719</v>
      </c>
    </row>
    <row r="260" spans="1:10">
      <c r="A260" t="s">
        <v>2872</v>
      </c>
      <c r="B260" t="s">
        <v>665</v>
      </c>
      <c r="C260" s="2" t="s">
        <v>250</v>
      </c>
      <c r="E260">
        <v>79640.899999999994</v>
      </c>
      <c r="G260">
        <v>0.5</v>
      </c>
      <c r="I260" t="s">
        <v>2718</v>
      </c>
      <c r="J260" t="s">
        <v>2721</v>
      </c>
    </row>
    <row r="261" spans="1:10">
      <c r="A261" t="s">
        <v>2873</v>
      </c>
      <c r="B261" t="s">
        <v>213</v>
      </c>
      <c r="C261" s="2" t="s">
        <v>250</v>
      </c>
      <c r="E261">
        <v>79647.600000000006</v>
      </c>
      <c r="G261">
        <v>1.3</v>
      </c>
      <c r="I261" t="s">
        <v>2718</v>
      </c>
      <c r="J261" t="s">
        <v>2719</v>
      </c>
    </row>
    <row r="262" spans="1:10">
      <c r="A262" t="s">
        <v>2873</v>
      </c>
      <c r="B262" t="s">
        <v>213</v>
      </c>
      <c r="C262" s="2" t="s">
        <v>248</v>
      </c>
      <c r="E262">
        <v>80478.399999999994</v>
      </c>
      <c r="G262">
        <v>1.3</v>
      </c>
      <c r="I262" t="s">
        <v>2718</v>
      </c>
      <c r="J262" t="s">
        <v>2721</v>
      </c>
    </row>
    <row r="263" spans="1:10">
      <c r="A263" t="s">
        <v>2872</v>
      </c>
      <c r="B263" t="s">
        <v>651</v>
      </c>
      <c r="C263" s="2" t="s">
        <v>1702</v>
      </c>
      <c r="E263">
        <v>79667.899999999994</v>
      </c>
      <c r="G263">
        <v>0.9</v>
      </c>
      <c r="I263" t="s">
        <v>2718</v>
      </c>
      <c r="J263" t="s">
        <v>2719</v>
      </c>
    </row>
    <row r="264" spans="1:10">
      <c r="A264" t="s">
        <v>2872</v>
      </c>
      <c r="B264" t="s">
        <v>651</v>
      </c>
      <c r="C264" s="2" t="s">
        <v>252</v>
      </c>
      <c r="E264">
        <v>80505.600000000006</v>
      </c>
      <c r="G264">
        <v>0.7</v>
      </c>
      <c r="I264" t="s">
        <v>2718</v>
      </c>
      <c r="J264" t="s">
        <v>2721</v>
      </c>
    </row>
    <row r="265" spans="1:10">
      <c r="A265" t="s">
        <v>2872</v>
      </c>
      <c r="B265" t="s">
        <v>586</v>
      </c>
      <c r="C265" s="2" t="s">
        <v>249</v>
      </c>
      <c r="E265">
        <v>79675.399999999994</v>
      </c>
      <c r="G265">
        <v>0.7</v>
      </c>
      <c r="I265" t="s">
        <v>2718</v>
      </c>
      <c r="J265" t="s">
        <v>2721</v>
      </c>
    </row>
    <row r="266" spans="1:10">
      <c r="A266" t="s">
        <v>2872</v>
      </c>
      <c r="B266" t="s">
        <v>231</v>
      </c>
      <c r="C266" s="2" t="s">
        <v>251</v>
      </c>
      <c r="E266">
        <v>79694.399999999994</v>
      </c>
      <c r="G266">
        <v>0.7</v>
      </c>
      <c r="I266" t="s">
        <v>2718</v>
      </c>
      <c r="J266" t="s">
        <v>2721</v>
      </c>
    </row>
    <row r="267" spans="1:10">
      <c r="A267" t="s">
        <v>2872</v>
      </c>
      <c r="B267" t="s">
        <v>231</v>
      </c>
      <c r="C267" s="2" t="s">
        <v>249</v>
      </c>
      <c r="E267">
        <v>80542.3</v>
      </c>
      <c r="G267">
        <v>0.6</v>
      </c>
      <c r="I267" t="s">
        <v>2718</v>
      </c>
      <c r="J267" t="s">
        <v>2721</v>
      </c>
    </row>
    <row r="268" spans="1:10">
      <c r="A268" t="s">
        <v>2872</v>
      </c>
      <c r="B268" t="s">
        <v>576</v>
      </c>
      <c r="C268" s="2" t="s">
        <v>252</v>
      </c>
      <c r="E268">
        <v>79699.600000000006</v>
      </c>
      <c r="G268">
        <v>0.6</v>
      </c>
      <c r="I268" t="s">
        <v>2718</v>
      </c>
      <c r="J268" t="s">
        <v>2721</v>
      </c>
    </row>
    <row r="269" spans="1:10">
      <c r="A269" t="s">
        <v>2872</v>
      </c>
      <c r="B269" t="s">
        <v>576</v>
      </c>
      <c r="C269" s="2" t="s">
        <v>251</v>
      </c>
      <c r="E269">
        <v>80559.7</v>
      </c>
      <c r="G269">
        <v>0.3</v>
      </c>
      <c r="I269" t="s">
        <v>2718</v>
      </c>
      <c r="J269" t="s">
        <v>2721</v>
      </c>
    </row>
    <row r="270" spans="1:10">
      <c r="A270" t="s">
        <v>2874</v>
      </c>
      <c r="B270" t="s">
        <v>291</v>
      </c>
      <c r="C270" s="2" t="s">
        <v>2783</v>
      </c>
      <c r="E270">
        <v>79798.899999999994</v>
      </c>
      <c r="G270">
        <v>1.3</v>
      </c>
      <c r="I270" t="s">
        <v>2718</v>
      </c>
      <c r="J270" t="s">
        <v>2721</v>
      </c>
    </row>
    <row r="271" spans="1:10">
      <c r="A271" t="s">
        <v>2875</v>
      </c>
      <c r="B271" t="s">
        <v>231</v>
      </c>
      <c r="C271" s="2" t="s">
        <v>251</v>
      </c>
      <c r="E271">
        <v>80318.2</v>
      </c>
      <c r="G271">
        <v>0.3</v>
      </c>
      <c r="I271" t="s">
        <v>2718</v>
      </c>
      <c r="J271" t="s">
        <v>2721</v>
      </c>
    </row>
    <row r="272" spans="1:10">
      <c r="A272" t="s">
        <v>2876</v>
      </c>
      <c r="B272" t="s">
        <v>291</v>
      </c>
      <c r="C272" s="2" t="s">
        <v>2783</v>
      </c>
      <c r="E272">
        <v>80424.600000000006</v>
      </c>
      <c r="G272">
        <v>1.3</v>
      </c>
      <c r="I272" t="s">
        <v>2718</v>
      </c>
      <c r="J272" t="s">
        <v>2719</v>
      </c>
    </row>
    <row r="273" spans="1:10">
      <c r="A273" t="s">
        <v>2872</v>
      </c>
      <c r="B273" t="s">
        <v>594</v>
      </c>
      <c r="C273" s="2" t="s">
        <v>251</v>
      </c>
      <c r="E273">
        <v>80553.600000000006</v>
      </c>
      <c r="G273">
        <v>0.3</v>
      </c>
      <c r="I273" t="s">
        <v>2718</v>
      </c>
      <c r="J273" t="s">
        <v>2721</v>
      </c>
    </row>
    <row r="274" spans="1:10">
      <c r="A274" t="s">
        <v>2872</v>
      </c>
      <c r="B274" t="s">
        <v>577</v>
      </c>
      <c r="C274" s="2" t="s">
        <v>249</v>
      </c>
      <c r="E274">
        <v>80574.100000000006</v>
      </c>
      <c r="G274">
        <v>1</v>
      </c>
      <c r="I274" t="s">
        <v>2718</v>
      </c>
      <c r="J274" t="s">
        <v>2721</v>
      </c>
    </row>
    <row r="275" spans="1:10">
      <c r="A275" t="s">
        <v>2872</v>
      </c>
      <c r="B275" t="s">
        <v>209</v>
      </c>
      <c r="C275" s="2" t="s">
        <v>250</v>
      </c>
      <c r="E275">
        <v>80586.5</v>
      </c>
      <c r="G275">
        <v>0.5</v>
      </c>
      <c r="I275" t="s">
        <v>2718</v>
      </c>
      <c r="J275" t="s">
        <v>2721</v>
      </c>
    </row>
    <row r="276" spans="1:10">
      <c r="A276" t="s">
        <v>2877</v>
      </c>
      <c r="B276" t="s">
        <v>211</v>
      </c>
      <c r="C276" s="2" t="s">
        <v>250</v>
      </c>
      <c r="E276">
        <v>80944.100000000006</v>
      </c>
      <c r="G276">
        <v>1.3</v>
      </c>
      <c r="I276" t="s">
        <v>2718</v>
      </c>
      <c r="J276" t="s">
        <v>2721</v>
      </c>
    </row>
    <row r="277" spans="1:10">
      <c r="A277" t="s">
        <v>2877</v>
      </c>
      <c r="B277" t="s">
        <v>211</v>
      </c>
      <c r="C277" s="2" t="s">
        <v>248</v>
      </c>
      <c r="E277">
        <v>81613.3</v>
      </c>
      <c r="G277">
        <v>1.9</v>
      </c>
      <c r="I277" t="s">
        <v>2718</v>
      </c>
      <c r="J277" t="s">
        <v>2719</v>
      </c>
    </row>
    <row r="278" spans="1:10">
      <c r="A278" t="s">
        <v>2878</v>
      </c>
      <c r="B278" t="s">
        <v>213</v>
      </c>
      <c r="C278" s="2" t="s">
        <v>250</v>
      </c>
      <c r="E278">
        <v>81084.600000000006</v>
      </c>
      <c r="G278">
        <v>1.3</v>
      </c>
      <c r="I278" t="s">
        <v>2718</v>
      </c>
      <c r="J278" t="s">
        <v>2719</v>
      </c>
    </row>
    <row r="279" spans="1:10">
      <c r="A279" t="s">
        <v>2878</v>
      </c>
      <c r="B279" t="s">
        <v>213</v>
      </c>
      <c r="C279" s="2" t="s">
        <v>248</v>
      </c>
      <c r="E279">
        <v>81986</v>
      </c>
      <c r="G279">
        <v>1.3</v>
      </c>
      <c r="I279" t="s">
        <v>2718</v>
      </c>
      <c r="J279" t="s">
        <v>2719</v>
      </c>
    </row>
    <row r="280" spans="1:10">
      <c r="A280" t="s">
        <v>2879</v>
      </c>
      <c r="B280" t="s">
        <v>291</v>
      </c>
      <c r="C280" s="2" t="s">
        <v>2783</v>
      </c>
      <c r="E280">
        <v>81162.899999999994</v>
      </c>
      <c r="G280">
        <v>1.3</v>
      </c>
      <c r="I280" t="s">
        <v>2718</v>
      </c>
      <c r="J280" t="s">
        <v>2721</v>
      </c>
    </row>
    <row r="281" spans="1:10">
      <c r="A281" t="s">
        <v>2880</v>
      </c>
      <c r="B281" t="s">
        <v>209</v>
      </c>
      <c r="C281" s="2" t="s">
        <v>249</v>
      </c>
      <c r="E281">
        <v>81292.53</v>
      </c>
      <c r="G281">
        <v>0.21</v>
      </c>
      <c r="I281" t="s">
        <v>2718</v>
      </c>
      <c r="J281" t="s">
        <v>2721</v>
      </c>
    </row>
    <row r="282" spans="1:10">
      <c r="A282" t="s">
        <v>2880</v>
      </c>
      <c r="B282" t="s">
        <v>209</v>
      </c>
      <c r="C282" s="2" t="s">
        <v>250</v>
      </c>
      <c r="E282">
        <v>81313.820000000007</v>
      </c>
      <c r="G282">
        <v>0.14000000000000001</v>
      </c>
      <c r="I282" t="s">
        <v>2718</v>
      </c>
      <c r="J282" t="s">
        <v>2721</v>
      </c>
    </row>
    <row r="283" spans="1:10">
      <c r="A283" t="s">
        <v>2880</v>
      </c>
      <c r="B283" t="s">
        <v>577</v>
      </c>
      <c r="C283" s="2" t="s">
        <v>249</v>
      </c>
      <c r="E283">
        <v>81362.3</v>
      </c>
      <c r="G283">
        <v>0.4</v>
      </c>
      <c r="I283" t="s">
        <v>2718</v>
      </c>
      <c r="J283" t="s">
        <v>2721</v>
      </c>
    </row>
    <row r="284" spans="1:10">
      <c r="A284" t="s">
        <v>2880</v>
      </c>
      <c r="B284" t="s">
        <v>577</v>
      </c>
      <c r="C284" s="2" t="s">
        <v>251</v>
      </c>
      <c r="E284">
        <v>81376.210000000006</v>
      </c>
      <c r="G284">
        <v>0.18</v>
      </c>
      <c r="I284" t="s">
        <v>2718</v>
      </c>
      <c r="J284" t="s">
        <v>2721</v>
      </c>
    </row>
    <row r="285" spans="1:10">
      <c r="A285" t="s">
        <v>2881</v>
      </c>
      <c r="B285" t="s">
        <v>216</v>
      </c>
      <c r="C285" s="2" t="s">
        <v>248</v>
      </c>
      <c r="E285">
        <v>81613.3</v>
      </c>
      <c r="G285">
        <v>1.9</v>
      </c>
      <c r="I285" t="s">
        <v>2718</v>
      </c>
      <c r="J285" t="s">
        <v>2719</v>
      </c>
    </row>
    <row r="286" spans="1:10">
      <c r="A286" t="s">
        <v>2882</v>
      </c>
      <c r="B286" t="s">
        <v>211</v>
      </c>
      <c r="C286" s="2" t="s">
        <v>248</v>
      </c>
      <c r="E286">
        <v>81642.7</v>
      </c>
      <c r="G286">
        <v>1.3</v>
      </c>
      <c r="I286" t="s">
        <v>2718</v>
      </c>
      <c r="J286" t="s">
        <v>2721</v>
      </c>
    </row>
    <row r="287" spans="1:10">
      <c r="A287" t="s">
        <v>2883</v>
      </c>
      <c r="B287" t="s">
        <v>2871</v>
      </c>
      <c r="C287" s="2" t="s">
        <v>250</v>
      </c>
      <c r="E287">
        <v>81873.899999999994</v>
      </c>
      <c r="G287">
        <v>1.3</v>
      </c>
      <c r="I287" t="s">
        <v>2718</v>
      </c>
      <c r="J287" t="s">
        <v>2719</v>
      </c>
    </row>
    <row r="288" spans="1:10">
      <c r="A288" t="s">
        <v>2883</v>
      </c>
      <c r="B288" t="s">
        <v>2871</v>
      </c>
      <c r="C288" s="2" t="s">
        <v>250</v>
      </c>
      <c r="E288">
        <v>81880.600000000006</v>
      </c>
      <c r="G288">
        <v>1.3</v>
      </c>
      <c r="I288" t="s">
        <v>2718</v>
      </c>
      <c r="J288" t="s">
        <v>2719</v>
      </c>
    </row>
    <row r="289" spans="1:10">
      <c r="A289" t="s">
        <v>2884</v>
      </c>
      <c r="B289" t="s">
        <v>213</v>
      </c>
      <c r="C289" s="2" t="s">
        <v>250</v>
      </c>
      <c r="E289">
        <v>81970.600000000006</v>
      </c>
      <c r="G289">
        <v>1.3</v>
      </c>
      <c r="I289" t="s">
        <v>2718</v>
      </c>
      <c r="J289" t="s">
        <v>2719</v>
      </c>
    </row>
    <row r="290" spans="1:10">
      <c r="A290" t="s">
        <v>2884</v>
      </c>
      <c r="B290" t="s">
        <v>213</v>
      </c>
      <c r="C290" s="2" t="s">
        <v>248</v>
      </c>
      <c r="E290">
        <v>82813.7</v>
      </c>
      <c r="G290">
        <v>1.4</v>
      </c>
      <c r="I290" t="s">
        <v>2718</v>
      </c>
      <c r="J290" t="s">
        <v>2719</v>
      </c>
    </row>
    <row r="291" spans="1:10">
      <c r="A291" t="s">
        <v>2885</v>
      </c>
      <c r="B291" t="s">
        <v>291</v>
      </c>
      <c r="C291" s="2" t="s">
        <v>2783</v>
      </c>
      <c r="E291">
        <v>82084.3</v>
      </c>
      <c r="G291">
        <v>1.3</v>
      </c>
      <c r="I291" t="s">
        <v>2718</v>
      </c>
      <c r="J291" t="s">
        <v>2721</v>
      </c>
    </row>
    <row r="292" spans="1:10">
      <c r="A292" t="s">
        <v>2886</v>
      </c>
      <c r="B292" t="s">
        <v>291</v>
      </c>
      <c r="C292" s="2" t="s">
        <v>2783</v>
      </c>
      <c r="E292">
        <v>82124.7</v>
      </c>
      <c r="G292">
        <v>1.3</v>
      </c>
      <c r="I292" t="s">
        <v>2718</v>
      </c>
      <c r="J292" t="s">
        <v>2719</v>
      </c>
    </row>
    <row r="293" spans="1:10">
      <c r="A293" t="s">
        <v>2887</v>
      </c>
      <c r="B293" t="s">
        <v>2888</v>
      </c>
      <c r="C293" s="2" t="s">
        <v>250</v>
      </c>
      <c r="E293">
        <v>82482.399999999994</v>
      </c>
      <c r="G293">
        <v>1.4</v>
      </c>
      <c r="I293" t="s">
        <v>2718</v>
      </c>
      <c r="J293" t="s">
        <v>2719</v>
      </c>
    </row>
    <row r="294" spans="1:10">
      <c r="A294" t="s">
        <v>2889</v>
      </c>
      <c r="B294" t="s">
        <v>291</v>
      </c>
      <c r="C294" s="2" t="s">
        <v>2783</v>
      </c>
      <c r="E294">
        <v>82515.7</v>
      </c>
      <c r="G294">
        <v>1.4</v>
      </c>
      <c r="I294" t="s">
        <v>2718</v>
      </c>
      <c r="J294" t="s">
        <v>2719</v>
      </c>
    </row>
    <row r="295" spans="1:10">
      <c r="A295" t="s">
        <v>2890</v>
      </c>
      <c r="B295" t="s">
        <v>2888</v>
      </c>
      <c r="C295" s="2" t="s">
        <v>250</v>
      </c>
      <c r="E295">
        <v>82865.8</v>
      </c>
      <c r="G295">
        <v>1.4</v>
      </c>
      <c r="I295" t="s">
        <v>2718</v>
      </c>
      <c r="J295" t="s">
        <v>2721</v>
      </c>
    </row>
    <row r="296" spans="1:10">
      <c r="A296" t="s">
        <v>2891</v>
      </c>
      <c r="B296" t="s">
        <v>291</v>
      </c>
      <c r="C296" s="2" t="s">
        <v>2783</v>
      </c>
      <c r="E296">
        <v>82878.899999999994</v>
      </c>
      <c r="G296">
        <v>1.4</v>
      </c>
      <c r="I296" t="s">
        <v>2718</v>
      </c>
      <c r="J296" t="s">
        <v>2719</v>
      </c>
    </row>
    <row r="297" spans="1:10">
      <c r="A297" t="s">
        <v>2892</v>
      </c>
      <c r="B297" t="s">
        <v>291</v>
      </c>
      <c r="C297" s="2" t="s">
        <v>2783</v>
      </c>
      <c r="E297">
        <v>82902.899999999994</v>
      </c>
      <c r="G297">
        <v>1.4</v>
      </c>
      <c r="I297" t="s">
        <v>2718</v>
      </c>
      <c r="J297" t="s">
        <v>2721</v>
      </c>
    </row>
    <row r="298" spans="1:10">
      <c r="A298" t="s">
        <v>2893</v>
      </c>
      <c r="B298" t="s">
        <v>2888</v>
      </c>
      <c r="C298" s="2" t="s">
        <v>250</v>
      </c>
      <c r="E298">
        <v>83110.3</v>
      </c>
      <c r="G298">
        <v>1.4</v>
      </c>
      <c r="I298" t="s">
        <v>2718</v>
      </c>
      <c r="J298" t="s">
        <v>2719</v>
      </c>
    </row>
    <row r="299" spans="1:10">
      <c r="A299" t="s">
        <v>2894</v>
      </c>
      <c r="B299" t="s">
        <v>291</v>
      </c>
      <c r="C299" s="2" t="s">
        <v>2783</v>
      </c>
      <c r="E299">
        <v>83142.600000000006</v>
      </c>
      <c r="G299">
        <v>0.4</v>
      </c>
      <c r="I299" t="s">
        <v>2718</v>
      </c>
      <c r="J299" t="s">
        <v>2895</v>
      </c>
    </row>
    <row r="300" spans="1:10">
      <c r="A300" t="s">
        <v>2896</v>
      </c>
      <c r="B300" t="s">
        <v>2871</v>
      </c>
      <c r="C300" s="2" t="s">
        <v>250</v>
      </c>
      <c r="E300">
        <v>83236.2</v>
      </c>
      <c r="G300">
        <v>1.4</v>
      </c>
      <c r="I300" t="s">
        <v>2718</v>
      </c>
      <c r="J300" t="s">
        <v>2719</v>
      </c>
    </row>
    <row r="301" spans="1:10">
      <c r="A301" t="s">
        <v>2897</v>
      </c>
      <c r="B301" t="s">
        <v>2888</v>
      </c>
      <c r="C301" s="2" t="s">
        <v>250</v>
      </c>
      <c r="E301">
        <v>83316.7</v>
      </c>
      <c r="G301">
        <v>1.4</v>
      </c>
      <c r="I301" t="s">
        <v>2718</v>
      </c>
      <c r="J301" t="s">
        <v>2719</v>
      </c>
    </row>
    <row r="302" spans="1:10">
      <c r="A302" t="s">
        <v>2898</v>
      </c>
      <c r="B302" t="s">
        <v>291</v>
      </c>
      <c r="C302" s="2" t="s">
        <v>2783</v>
      </c>
      <c r="E302">
        <v>83333.3</v>
      </c>
      <c r="G302">
        <v>1.4</v>
      </c>
      <c r="I302" t="s">
        <v>2718</v>
      </c>
      <c r="J302" t="s">
        <v>2719</v>
      </c>
    </row>
    <row r="303" spans="1:10">
      <c r="A303" t="s">
        <v>2899</v>
      </c>
      <c r="B303" t="s">
        <v>2900</v>
      </c>
      <c r="C303" s="2" t="s">
        <v>248</v>
      </c>
      <c r="E303">
        <v>83382</v>
      </c>
      <c r="G303">
        <v>1.4</v>
      </c>
      <c r="I303" t="s">
        <v>2718</v>
      </c>
      <c r="J303" t="s">
        <v>2719</v>
      </c>
    </row>
    <row r="304" spans="1:10">
      <c r="A304" t="s">
        <v>2901</v>
      </c>
      <c r="B304" t="s">
        <v>291</v>
      </c>
      <c r="C304" s="2" t="s">
        <v>2783</v>
      </c>
      <c r="E304">
        <v>83434.899999999994</v>
      </c>
      <c r="G304">
        <v>1.4</v>
      </c>
      <c r="I304" t="s">
        <v>2718</v>
      </c>
      <c r="J304" t="s">
        <v>2721</v>
      </c>
    </row>
    <row r="305" spans="1:10">
      <c r="A305" t="s">
        <v>2902</v>
      </c>
      <c r="B305" t="s">
        <v>2888</v>
      </c>
      <c r="C305" s="2" t="s">
        <v>250</v>
      </c>
      <c r="E305">
        <v>83470.399999999994</v>
      </c>
      <c r="G305">
        <v>1.4</v>
      </c>
      <c r="I305" t="s">
        <v>2718</v>
      </c>
      <c r="J305" t="s">
        <v>2719</v>
      </c>
    </row>
    <row r="306" spans="1:10">
      <c r="A306" t="s">
        <v>2903</v>
      </c>
      <c r="B306" t="s">
        <v>291</v>
      </c>
      <c r="C306" s="2" t="s">
        <v>2783</v>
      </c>
      <c r="E306">
        <v>83478</v>
      </c>
      <c r="G306">
        <v>1.4</v>
      </c>
      <c r="I306" t="s">
        <v>2718</v>
      </c>
      <c r="J306" t="s">
        <v>2719</v>
      </c>
    </row>
    <row r="307" spans="1:10">
      <c r="A307" t="s">
        <v>2904</v>
      </c>
      <c r="B307" t="s">
        <v>2888</v>
      </c>
      <c r="C307" s="2" t="s">
        <v>250</v>
      </c>
      <c r="E307">
        <v>83584.800000000003</v>
      </c>
      <c r="G307">
        <v>1.4</v>
      </c>
      <c r="I307" t="s">
        <v>2718</v>
      </c>
      <c r="J307" t="s">
        <v>2719</v>
      </c>
    </row>
    <row r="308" spans="1:10">
      <c r="A308" t="s">
        <v>2905</v>
      </c>
      <c r="B308" t="s">
        <v>291</v>
      </c>
      <c r="C308" s="2" t="s">
        <v>2783</v>
      </c>
      <c r="E308">
        <v>83590.399999999994</v>
      </c>
      <c r="G308">
        <v>1.4</v>
      </c>
      <c r="I308" t="s">
        <v>2718</v>
      </c>
      <c r="J308" t="s">
        <v>2719</v>
      </c>
    </row>
    <row r="309" spans="1:10">
      <c r="A309" t="s">
        <v>2906</v>
      </c>
      <c r="B309" t="s">
        <v>2888</v>
      </c>
      <c r="C309" s="2" t="s">
        <v>250</v>
      </c>
      <c r="E309">
        <v>83674.3</v>
      </c>
      <c r="G309">
        <v>1.4</v>
      </c>
      <c r="I309" t="s">
        <v>2718</v>
      </c>
      <c r="J309" t="s">
        <v>2719</v>
      </c>
    </row>
    <row r="310" spans="1:10">
      <c r="A310" t="s">
        <v>2907</v>
      </c>
      <c r="B310" t="s">
        <v>291</v>
      </c>
      <c r="C310" s="2" t="s">
        <v>2783</v>
      </c>
      <c r="E310">
        <v>83680.600000000006</v>
      </c>
      <c r="G310">
        <v>1.4</v>
      </c>
      <c r="I310" t="s">
        <v>2718</v>
      </c>
      <c r="J310" t="s">
        <v>2719</v>
      </c>
    </row>
    <row r="311" spans="1:10">
      <c r="A311" t="s">
        <v>2908</v>
      </c>
      <c r="B311" t="s">
        <v>2888</v>
      </c>
      <c r="C311" s="2" t="s">
        <v>250</v>
      </c>
      <c r="E311">
        <v>83719.8</v>
      </c>
      <c r="G311">
        <v>1.4</v>
      </c>
      <c r="I311" t="s">
        <v>2718</v>
      </c>
      <c r="J311" t="s">
        <v>2719</v>
      </c>
    </row>
    <row r="312" spans="1:10">
      <c r="A312" t="s">
        <v>2909</v>
      </c>
      <c r="B312" t="s">
        <v>2900</v>
      </c>
      <c r="C312" s="2" t="s">
        <v>248</v>
      </c>
      <c r="E312">
        <v>83756.3</v>
      </c>
      <c r="G312">
        <v>1.4</v>
      </c>
      <c r="I312" t="s">
        <v>2718</v>
      </c>
      <c r="J312" t="s">
        <v>2719</v>
      </c>
    </row>
    <row r="313" spans="1:10">
      <c r="A313" t="s">
        <v>2910</v>
      </c>
      <c r="B313" t="s">
        <v>2888</v>
      </c>
      <c r="C313" s="2" t="s">
        <v>250</v>
      </c>
      <c r="E313">
        <v>83800.5</v>
      </c>
      <c r="G313">
        <v>1.4</v>
      </c>
      <c r="I313" t="s">
        <v>2718</v>
      </c>
      <c r="J313" t="s">
        <v>2719</v>
      </c>
    </row>
    <row r="314" spans="1:10">
      <c r="A314" t="s">
        <v>2911</v>
      </c>
      <c r="B314" t="s">
        <v>211</v>
      </c>
      <c r="C314" s="2" t="s">
        <v>250</v>
      </c>
      <c r="E314">
        <v>83817.399999999994</v>
      </c>
      <c r="G314">
        <v>2</v>
      </c>
      <c r="I314" t="s">
        <v>2718</v>
      </c>
      <c r="J314" t="s">
        <v>2719</v>
      </c>
    </row>
    <row r="315" spans="1:10">
      <c r="A315" t="s">
        <v>2911</v>
      </c>
      <c r="B315" t="s">
        <v>211</v>
      </c>
      <c r="C315" s="2" t="s">
        <v>248</v>
      </c>
      <c r="E315">
        <v>84131.199999999997</v>
      </c>
      <c r="G315">
        <v>1.4</v>
      </c>
      <c r="I315" t="s">
        <v>2718</v>
      </c>
      <c r="J315" t="s">
        <v>2719</v>
      </c>
    </row>
    <row r="316" spans="1:10">
      <c r="A316" t="s">
        <v>2912</v>
      </c>
      <c r="B316" t="s">
        <v>291</v>
      </c>
      <c r="C316" s="2" t="s">
        <v>2783</v>
      </c>
      <c r="E316">
        <v>83817.399999999994</v>
      </c>
      <c r="G316">
        <v>2</v>
      </c>
      <c r="I316" t="s">
        <v>2718</v>
      </c>
      <c r="J316" t="s">
        <v>2719</v>
      </c>
    </row>
    <row r="317" spans="1:10">
      <c r="A317" t="s">
        <v>2913</v>
      </c>
      <c r="B317" t="s">
        <v>2888</v>
      </c>
      <c r="C317" s="2" t="s">
        <v>250</v>
      </c>
      <c r="E317">
        <v>83861</v>
      </c>
      <c r="G317">
        <v>1.4</v>
      </c>
      <c r="I317" t="s">
        <v>2718</v>
      </c>
      <c r="J317" t="s">
        <v>2721</v>
      </c>
    </row>
    <row r="318" spans="1:10">
      <c r="A318" t="s">
        <v>2914</v>
      </c>
      <c r="B318" t="s">
        <v>2888</v>
      </c>
      <c r="C318" s="2" t="s">
        <v>250</v>
      </c>
      <c r="E318">
        <v>83901.8</v>
      </c>
      <c r="G318">
        <v>1.4</v>
      </c>
      <c r="I318" t="s">
        <v>2718</v>
      </c>
      <c r="J318" t="s">
        <v>2719</v>
      </c>
    </row>
    <row r="319" spans="1:10">
      <c r="A319" t="s">
        <v>2915</v>
      </c>
      <c r="B319" t="s">
        <v>2888</v>
      </c>
      <c r="C319" s="2" t="s">
        <v>250</v>
      </c>
      <c r="E319">
        <v>83937.7</v>
      </c>
      <c r="G319">
        <v>1.4</v>
      </c>
      <c r="I319" t="s">
        <v>2718</v>
      </c>
      <c r="J319" t="s">
        <v>2719</v>
      </c>
    </row>
    <row r="320" spans="1:10">
      <c r="A320" t="s">
        <v>2884</v>
      </c>
      <c r="B320" t="s">
        <v>211</v>
      </c>
      <c r="C320" s="2" t="s">
        <v>248</v>
      </c>
      <c r="E320">
        <v>83975.8</v>
      </c>
      <c r="G320">
        <v>1.4</v>
      </c>
      <c r="I320" t="s">
        <v>2718</v>
      </c>
      <c r="J320" t="s">
        <v>2721</v>
      </c>
    </row>
    <row r="321" spans="1:10">
      <c r="A321" t="s">
        <v>2916</v>
      </c>
      <c r="B321" t="s">
        <v>2900</v>
      </c>
      <c r="C321" s="2" t="s">
        <v>248</v>
      </c>
      <c r="E321">
        <v>84025.1</v>
      </c>
      <c r="G321">
        <v>1.4</v>
      </c>
      <c r="I321" t="s">
        <v>2718</v>
      </c>
      <c r="J321" t="s">
        <v>2719</v>
      </c>
    </row>
    <row r="322" spans="1:10">
      <c r="A322" t="s">
        <v>2917</v>
      </c>
      <c r="B322" t="s">
        <v>2871</v>
      </c>
      <c r="C322" s="2" t="s">
        <v>250</v>
      </c>
      <c r="E322">
        <v>84038.6</v>
      </c>
      <c r="G322">
        <v>1.4</v>
      </c>
      <c r="I322" t="s">
        <v>2718</v>
      </c>
      <c r="J322" t="s">
        <v>2721</v>
      </c>
    </row>
    <row r="323" spans="1:10">
      <c r="A323" t="s">
        <v>2918</v>
      </c>
      <c r="B323" t="s">
        <v>291</v>
      </c>
      <c r="C323" s="2" t="s">
        <v>2783</v>
      </c>
      <c r="E323">
        <v>84054.8</v>
      </c>
      <c r="G323">
        <v>1.4</v>
      </c>
      <c r="I323" t="s">
        <v>2718</v>
      </c>
      <c r="J323" t="s">
        <v>2721</v>
      </c>
    </row>
    <row r="324" spans="1:10">
      <c r="A324" t="s">
        <v>2919</v>
      </c>
      <c r="B324" t="s">
        <v>2900</v>
      </c>
      <c r="C324" s="2" t="s">
        <v>248</v>
      </c>
      <c r="E324">
        <v>84228.3</v>
      </c>
      <c r="G324">
        <v>1.4</v>
      </c>
      <c r="I324" t="s">
        <v>2718</v>
      </c>
      <c r="J324" t="s">
        <v>2721</v>
      </c>
    </row>
    <row r="325" spans="1:10">
      <c r="A325" t="s">
        <v>2920</v>
      </c>
      <c r="B325" t="s">
        <v>202</v>
      </c>
      <c r="C325" s="2" t="s">
        <v>203</v>
      </c>
      <c r="E325">
        <v>84246.19</v>
      </c>
      <c r="I325" t="s">
        <v>2718</v>
      </c>
      <c r="J325" t="s">
        <v>2719</v>
      </c>
    </row>
    <row r="326" spans="1:10">
      <c r="A326" t="s">
        <v>2921</v>
      </c>
      <c r="B326" t="s">
        <v>291</v>
      </c>
      <c r="C326" s="2" t="s">
        <v>2783</v>
      </c>
      <c r="E326">
        <v>84249.600000000006</v>
      </c>
      <c r="G326">
        <v>1.4</v>
      </c>
      <c r="I326" t="s">
        <v>2718</v>
      </c>
      <c r="J326" t="s">
        <v>2721</v>
      </c>
    </row>
    <row r="327" spans="1:10">
      <c r="A327" t="s">
        <v>2922</v>
      </c>
      <c r="B327" t="s">
        <v>2900</v>
      </c>
      <c r="C327" s="2" t="s">
        <v>248</v>
      </c>
      <c r="E327">
        <v>84376.8</v>
      </c>
      <c r="G327">
        <v>1.4</v>
      </c>
      <c r="I327" t="s">
        <v>2718</v>
      </c>
      <c r="J327" t="s">
        <v>2719</v>
      </c>
    </row>
    <row r="328" spans="1:10">
      <c r="A328" t="s">
        <v>2923</v>
      </c>
      <c r="B328" t="s">
        <v>291</v>
      </c>
      <c r="C328" s="2" t="s">
        <v>2783</v>
      </c>
      <c r="E328">
        <v>84394.6</v>
      </c>
      <c r="G328">
        <v>1.4</v>
      </c>
      <c r="I328" t="s">
        <v>2718</v>
      </c>
      <c r="J328" t="s">
        <v>2719</v>
      </c>
    </row>
    <row r="329" spans="1:10">
      <c r="A329" t="s">
        <v>2924</v>
      </c>
      <c r="B329" t="s">
        <v>2900</v>
      </c>
      <c r="C329" s="2" t="s">
        <v>248</v>
      </c>
      <c r="E329">
        <v>84495.9</v>
      </c>
      <c r="G329">
        <v>1.4</v>
      </c>
      <c r="I329" t="s">
        <v>2718</v>
      </c>
      <c r="J329" t="s">
        <v>2721</v>
      </c>
    </row>
    <row r="330" spans="1:10">
      <c r="A330" t="s">
        <v>2925</v>
      </c>
      <c r="B330" t="s">
        <v>291</v>
      </c>
      <c r="C330" s="2" t="s">
        <v>2783</v>
      </c>
      <c r="E330">
        <v>84509.4</v>
      </c>
      <c r="G330">
        <v>1.4</v>
      </c>
      <c r="I330" t="s">
        <v>2718</v>
      </c>
      <c r="J330" t="s">
        <v>2719</v>
      </c>
    </row>
    <row r="331" spans="1:10">
      <c r="A331" t="s">
        <v>2926</v>
      </c>
      <c r="B331" t="s">
        <v>291</v>
      </c>
      <c r="C331" s="2" t="s">
        <v>248</v>
      </c>
      <c r="E331">
        <v>84533</v>
      </c>
      <c r="G331">
        <v>1.4</v>
      </c>
      <c r="I331" t="s">
        <v>2718</v>
      </c>
      <c r="J331" t="s">
        <v>2719</v>
      </c>
    </row>
    <row r="332" spans="1:10">
      <c r="A332" t="s">
        <v>2927</v>
      </c>
      <c r="B332" t="s">
        <v>2871</v>
      </c>
      <c r="C332" s="2" t="s">
        <v>250</v>
      </c>
      <c r="E332">
        <v>84587.3</v>
      </c>
      <c r="G332">
        <v>1.4</v>
      </c>
      <c r="I332" t="s">
        <v>2718</v>
      </c>
      <c r="J332" t="s">
        <v>2719</v>
      </c>
    </row>
    <row r="333" spans="1:10">
      <c r="A333" t="s">
        <v>2928</v>
      </c>
      <c r="B333" t="s">
        <v>2900</v>
      </c>
      <c r="C333" s="2" t="s">
        <v>248</v>
      </c>
      <c r="E333">
        <v>84604.5</v>
      </c>
      <c r="G333">
        <v>1.4</v>
      </c>
      <c r="I333" t="s">
        <v>2718</v>
      </c>
      <c r="J333" t="s">
        <v>2719</v>
      </c>
    </row>
    <row r="334" spans="1:10">
      <c r="A334" t="s">
        <v>2929</v>
      </c>
      <c r="B334" t="s">
        <v>2900</v>
      </c>
      <c r="C334" s="2" t="s">
        <v>248</v>
      </c>
      <c r="E334">
        <v>84666.8</v>
      </c>
      <c r="G334">
        <v>1.4</v>
      </c>
      <c r="I334" t="s">
        <v>2718</v>
      </c>
      <c r="J334" t="s">
        <v>2719</v>
      </c>
    </row>
    <row r="335" spans="1:10">
      <c r="A335" t="s">
        <v>2930</v>
      </c>
      <c r="B335" t="s">
        <v>2900</v>
      </c>
      <c r="C335" s="2" t="s">
        <v>248</v>
      </c>
      <c r="E335">
        <v>84727.8</v>
      </c>
      <c r="G335">
        <v>1.4</v>
      </c>
      <c r="I335" t="s">
        <v>2718</v>
      </c>
      <c r="J335" t="s">
        <v>2719</v>
      </c>
    </row>
    <row r="336" spans="1:10">
      <c r="A336" t="s">
        <v>2931</v>
      </c>
      <c r="B336" t="s">
        <v>2900</v>
      </c>
      <c r="C336" s="2" t="s">
        <v>248</v>
      </c>
      <c r="E336">
        <v>84774.5</v>
      </c>
      <c r="G336">
        <v>1.4</v>
      </c>
      <c r="I336" t="s">
        <v>2718</v>
      </c>
      <c r="J336" t="s">
        <v>2719</v>
      </c>
    </row>
    <row r="337" spans="1:10">
      <c r="A337" t="s">
        <v>2932</v>
      </c>
      <c r="B337" t="s">
        <v>2900</v>
      </c>
      <c r="C337" s="2" t="s">
        <v>248</v>
      </c>
      <c r="E337">
        <v>84817.600000000006</v>
      </c>
      <c r="G337">
        <v>1.4</v>
      </c>
      <c r="I337" t="s">
        <v>2718</v>
      </c>
      <c r="J337" t="s">
        <v>2719</v>
      </c>
    </row>
    <row r="338" spans="1:10">
      <c r="A338" t="s">
        <v>2933</v>
      </c>
      <c r="B338" t="s">
        <v>2900</v>
      </c>
      <c r="C338" s="2" t="s">
        <v>248</v>
      </c>
      <c r="E338">
        <v>84854.399999999994</v>
      </c>
      <c r="G338">
        <v>1.4</v>
      </c>
      <c r="I338" t="s">
        <v>2718</v>
      </c>
      <c r="J338" t="s">
        <v>2721</v>
      </c>
    </row>
    <row r="339" spans="1:10">
      <c r="A339" t="s">
        <v>2934</v>
      </c>
      <c r="B339" t="s">
        <v>291</v>
      </c>
      <c r="C339" s="2" t="s">
        <v>248</v>
      </c>
      <c r="E339">
        <v>84911.3</v>
      </c>
      <c r="G339">
        <v>1.4</v>
      </c>
      <c r="I339" t="s">
        <v>2718</v>
      </c>
      <c r="J339" t="s">
        <v>2719</v>
      </c>
    </row>
    <row r="340" spans="1:10">
      <c r="A340" t="s">
        <v>2935</v>
      </c>
      <c r="B340" t="s">
        <v>2871</v>
      </c>
      <c r="C340" s="2" t="s">
        <v>250</v>
      </c>
      <c r="E340">
        <v>84950.2</v>
      </c>
      <c r="G340">
        <v>1.4</v>
      </c>
      <c r="I340" t="s">
        <v>2718</v>
      </c>
      <c r="J340" t="s">
        <v>2719</v>
      </c>
    </row>
    <row r="341" spans="1:10">
      <c r="A341" t="s">
        <v>2936</v>
      </c>
      <c r="B341" t="s">
        <v>202</v>
      </c>
      <c r="C341" s="2" t="s">
        <v>203</v>
      </c>
      <c r="E341">
        <v>85164.57</v>
      </c>
      <c r="I341" t="s">
        <v>2718</v>
      </c>
      <c r="J341" t="s">
        <v>2719</v>
      </c>
    </row>
    <row r="342" spans="1:10">
      <c r="A342" t="s">
        <v>2937</v>
      </c>
      <c r="B342" t="s">
        <v>291</v>
      </c>
      <c r="C342" s="2" t="s">
        <v>248</v>
      </c>
      <c r="E342">
        <v>85179.6</v>
      </c>
      <c r="G342">
        <v>1.5</v>
      </c>
      <c r="I342" t="s">
        <v>2718</v>
      </c>
      <c r="J342" t="s">
        <v>2719</v>
      </c>
    </row>
    <row r="343" spans="1:10">
      <c r="A343" t="s">
        <v>2938</v>
      </c>
      <c r="B343" t="s">
        <v>2871</v>
      </c>
      <c r="C343" s="2" t="s">
        <v>250</v>
      </c>
      <c r="E343">
        <v>85209.4</v>
      </c>
      <c r="G343">
        <v>1.5</v>
      </c>
      <c r="I343" t="s">
        <v>2718</v>
      </c>
      <c r="J343" t="s">
        <v>2719</v>
      </c>
    </row>
    <row r="344" spans="1:10">
      <c r="A344" t="s">
        <v>2939</v>
      </c>
      <c r="B344" t="s">
        <v>211</v>
      </c>
      <c r="C344" s="2" t="s">
        <v>250</v>
      </c>
      <c r="E344">
        <v>85319.1</v>
      </c>
      <c r="G344">
        <v>1.5</v>
      </c>
      <c r="I344" t="s">
        <v>2718</v>
      </c>
      <c r="J344" t="s">
        <v>2719</v>
      </c>
    </row>
    <row r="345" spans="1:10">
      <c r="A345" t="s">
        <v>2939</v>
      </c>
      <c r="B345" t="s">
        <v>211</v>
      </c>
      <c r="C345" s="2" t="s">
        <v>248</v>
      </c>
      <c r="E345">
        <v>85496.4</v>
      </c>
      <c r="G345">
        <v>1.5</v>
      </c>
      <c r="I345" t="s">
        <v>2718</v>
      </c>
      <c r="J345" t="s">
        <v>2719</v>
      </c>
    </row>
    <row r="346" spans="1:10">
      <c r="A346" t="s">
        <v>2940</v>
      </c>
      <c r="B346" t="s">
        <v>291</v>
      </c>
      <c r="C346" s="2" t="s">
        <v>248</v>
      </c>
      <c r="E346">
        <v>85386.9</v>
      </c>
      <c r="G346">
        <v>1.5</v>
      </c>
      <c r="I346" t="s">
        <v>2718</v>
      </c>
      <c r="J346" t="s">
        <v>2719</v>
      </c>
    </row>
    <row r="347" spans="1:10">
      <c r="A347" t="s">
        <v>2941</v>
      </c>
      <c r="B347" t="s">
        <v>2871</v>
      </c>
      <c r="C347" s="2" t="s">
        <v>250</v>
      </c>
      <c r="E347">
        <v>85400.7</v>
      </c>
      <c r="G347">
        <v>1.5</v>
      </c>
      <c r="I347" t="s">
        <v>2718</v>
      </c>
      <c r="J347" t="s">
        <v>2719</v>
      </c>
    </row>
    <row r="348" spans="1:10">
      <c r="A348" t="s">
        <v>2942</v>
      </c>
      <c r="B348" t="s">
        <v>291</v>
      </c>
      <c r="C348" s="2" t="s">
        <v>248</v>
      </c>
      <c r="E348">
        <v>85535.2</v>
      </c>
      <c r="G348">
        <v>1.5</v>
      </c>
      <c r="I348" t="s">
        <v>2718</v>
      </c>
      <c r="J348" t="s">
        <v>2721</v>
      </c>
    </row>
    <row r="349" spans="1:10">
      <c r="A349" t="s">
        <v>2943</v>
      </c>
      <c r="B349" t="s">
        <v>2871</v>
      </c>
      <c r="C349" s="2" t="s">
        <v>250</v>
      </c>
      <c r="E349">
        <v>85546.9</v>
      </c>
      <c r="G349">
        <v>1.5</v>
      </c>
      <c r="I349" t="s">
        <v>2718</v>
      </c>
      <c r="J349" t="s">
        <v>2721</v>
      </c>
    </row>
    <row r="350" spans="1:10">
      <c r="A350" t="s">
        <v>2944</v>
      </c>
      <c r="B350" t="s">
        <v>291</v>
      </c>
      <c r="C350" s="2" t="s">
        <v>248</v>
      </c>
      <c r="E350">
        <v>85650.9</v>
      </c>
      <c r="G350">
        <v>1.5</v>
      </c>
      <c r="I350" t="s">
        <v>2718</v>
      </c>
      <c r="J350" t="s">
        <v>2719</v>
      </c>
    </row>
    <row r="351" spans="1:10">
      <c r="A351" t="s">
        <v>2945</v>
      </c>
      <c r="B351" t="s">
        <v>2871</v>
      </c>
      <c r="C351" s="2" t="s">
        <v>250</v>
      </c>
      <c r="E351">
        <v>85661.2</v>
      </c>
      <c r="G351">
        <v>1.5</v>
      </c>
      <c r="I351" t="s">
        <v>2718</v>
      </c>
      <c r="J351" t="s">
        <v>2719</v>
      </c>
    </row>
    <row r="352" spans="1:10">
      <c r="A352" t="s">
        <v>2946</v>
      </c>
      <c r="B352" t="s">
        <v>291</v>
      </c>
      <c r="C352" s="2" t="s">
        <v>248</v>
      </c>
      <c r="E352">
        <v>85742</v>
      </c>
      <c r="G352">
        <v>1.5</v>
      </c>
      <c r="I352" t="s">
        <v>2718</v>
      </c>
      <c r="J352" t="s">
        <v>2719</v>
      </c>
    </row>
    <row r="353" spans="1:10">
      <c r="A353" t="s">
        <v>2947</v>
      </c>
      <c r="B353" t="s">
        <v>2871</v>
      </c>
      <c r="C353" s="2" t="s">
        <v>250</v>
      </c>
      <c r="E353">
        <v>85750.1</v>
      </c>
      <c r="G353">
        <v>1.5</v>
      </c>
      <c r="I353" t="s">
        <v>2718</v>
      </c>
      <c r="J353" t="s">
        <v>2719</v>
      </c>
    </row>
    <row r="354" spans="1:10">
      <c r="A354" t="s">
        <v>2948</v>
      </c>
      <c r="B354" t="s">
        <v>291</v>
      </c>
      <c r="C354" s="2" t="s">
        <v>248</v>
      </c>
      <c r="E354">
        <v>85819.199999999997</v>
      </c>
      <c r="G354">
        <v>1.5</v>
      </c>
      <c r="I354" t="s">
        <v>2718</v>
      </c>
      <c r="J354" t="s">
        <v>2719</v>
      </c>
    </row>
    <row r="355" spans="1:10">
      <c r="A355" t="s">
        <v>2949</v>
      </c>
      <c r="B355" t="s">
        <v>291</v>
      </c>
      <c r="C355" s="2" t="s">
        <v>248</v>
      </c>
      <c r="E355">
        <v>85879.7</v>
      </c>
      <c r="G355">
        <v>1.5</v>
      </c>
      <c r="I355" t="s">
        <v>2718</v>
      </c>
      <c r="J355" t="s">
        <v>2719</v>
      </c>
    </row>
    <row r="356" spans="1:10">
      <c r="A356" t="s">
        <v>2950</v>
      </c>
      <c r="B356" t="s">
        <v>291</v>
      </c>
      <c r="C356" s="2" t="s">
        <v>248</v>
      </c>
      <c r="E356">
        <v>85926.2</v>
      </c>
      <c r="G356">
        <v>1.5</v>
      </c>
      <c r="I356" t="s">
        <v>2718</v>
      </c>
      <c r="J356" t="s">
        <v>2719</v>
      </c>
    </row>
    <row r="357" spans="1:10">
      <c r="A357" t="s">
        <v>2951</v>
      </c>
      <c r="B357" t="s">
        <v>291</v>
      </c>
      <c r="C357" s="2" t="s">
        <v>248</v>
      </c>
      <c r="E357">
        <v>85972</v>
      </c>
      <c r="G357">
        <v>1.5</v>
      </c>
      <c r="I357" t="s">
        <v>2718</v>
      </c>
      <c r="J357" t="s">
        <v>2721</v>
      </c>
    </row>
    <row r="358" spans="1:10">
      <c r="A358" t="s">
        <v>2952</v>
      </c>
      <c r="B358" t="s">
        <v>291</v>
      </c>
      <c r="C358" s="2" t="s">
        <v>248</v>
      </c>
      <c r="E358">
        <v>86006</v>
      </c>
      <c r="G358">
        <v>1.5</v>
      </c>
      <c r="I358" t="s">
        <v>2718</v>
      </c>
      <c r="J358" t="s">
        <v>2721</v>
      </c>
    </row>
    <row r="359" spans="1:10">
      <c r="A359" t="s">
        <v>2953</v>
      </c>
      <c r="B359" t="s">
        <v>211</v>
      </c>
      <c r="C359" s="2" t="s">
        <v>250</v>
      </c>
      <c r="E359">
        <v>86212.1</v>
      </c>
      <c r="G359">
        <v>1.5</v>
      </c>
      <c r="I359" t="s">
        <v>2718</v>
      </c>
      <c r="J359" t="s">
        <v>2721</v>
      </c>
    </row>
    <row r="360" spans="1:10">
      <c r="A360" t="s">
        <v>2953</v>
      </c>
      <c r="B360" t="s">
        <v>211</v>
      </c>
      <c r="C360" s="2" t="s">
        <v>248</v>
      </c>
      <c r="E360">
        <v>86317</v>
      </c>
      <c r="G360">
        <v>1.5</v>
      </c>
      <c r="I360" t="s">
        <v>2718</v>
      </c>
      <c r="J360" t="s">
        <v>2719</v>
      </c>
    </row>
    <row r="361" spans="1:10">
      <c r="A361" t="s">
        <v>2954</v>
      </c>
      <c r="B361" t="s">
        <v>202</v>
      </c>
      <c r="C361" s="2" t="s">
        <v>203</v>
      </c>
      <c r="E361">
        <v>86315.82</v>
      </c>
      <c r="I361" t="s">
        <v>2718</v>
      </c>
      <c r="J361" t="s">
        <v>2719</v>
      </c>
    </row>
    <row r="362" spans="1:10">
      <c r="A362" t="s">
        <v>2955</v>
      </c>
      <c r="B362" t="s">
        <v>211</v>
      </c>
      <c r="C362" s="2" t="s">
        <v>250</v>
      </c>
      <c r="E362">
        <v>86780.7</v>
      </c>
      <c r="G362">
        <v>1.5</v>
      </c>
      <c r="I362" t="s">
        <v>2718</v>
      </c>
      <c r="J362" t="s">
        <v>2719</v>
      </c>
    </row>
    <row r="363" spans="1:10">
      <c r="A363" t="s">
        <v>2955</v>
      </c>
      <c r="B363" t="s">
        <v>211</v>
      </c>
      <c r="C363" s="2" t="s">
        <v>248</v>
      </c>
      <c r="E363">
        <v>86848.5</v>
      </c>
      <c r="G363">
        <v>1.5</v>
      </c>
      <c r="I363" t="s">
        <v>2718</v>
      </c>
      <c r="J363" t="s">
        <v>2719</v>
      </c>
    </row>
    <row r="364" spans="1:10">
      <c r="A364" t="s">
        <v>2956</v>
      </c>
      <c r="B364" t="s">
        <v>211</v>
      </c>
      <c r="C364" s="2" t="s">
        <v>250</v>
      </c>
      <c r="E364">
        <v>87165</v>
      </c>
      <c r="G364">
        <v>1.5</v>
      </c>
      <c r="I364" t="s">
        <v>2718</v>
      </c>
      <c r="J364" t="s">
        <v>2721</v>
      </c>
    </row>
    <row r="365" spans="1:10">
      <c r="A365" t="s">
        <v>2956</v>
      </c>
      <c r="B365" t="s">
        <v>211</v>
      </c>
      <c r="C365" s="2" t="s">
        <v>248</v>
      </c>
      <c r="E365">
        <v>87213.6</v>
      </c>
      <c r="G365">
        <v>1.5</v>
      </c>
      <c r="I365" t="s">
        <v>2718</v>
      </c>
      <c r="J365" t="s">
        <v>2719</v>
      </c>
    </row>
    <row r="366" spans="1:10">
      <c r="A366" t="s">
        <v>2957</v>
      </c>
      <c r="B366" t="s">
        <v>202</v>
      </c>
      <c r="C366" s="2" t="s">
        <v>203</v>
      </c>
      <c r="E366">
        <v>88582.01</v>
      </c>
      <c r="I366" t="s">
        <v>2718</v>
      </c>
      <c r="J366" t="s">
        <v>2719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Sc</vt:lpstr>
      <vt:lpstr>Ti</vt:lpstr>
      <vt:lpstr>V</vt:lpstr>
      <vt:lpstr>Cr</vt:lpstr>
      <vt:lpstr>Mn</vt:lpstr>
      <vt:lpstr>Fe</vt:lpstr>
      <vt:lpstr>Co</vt:lpstr>
      <vt:lpstr>Ni</vt:lpstr>
      <vt:lpstr>Cu</vt:lpstr>
      <vt:lpstr>Zn</vt:lpstr>
      <vt:lpstr>Y</vt:lpstr>
      <vt:lpstr>Zr</vt:lpstr>
      <vt:lpstr>Nb</vt:lpstr>
      <vt:lpstr>Mo</vt:lpstr>
      <vt:lpstr>Tc</vt:lpstr>
      <vt:lpstr>Ru</vt:lpstr>
      <vt:lpstr>Rh</vt:lpstr>
      <vt:lpstr>Pd</vt:lpstr>
      <vt:lpstr>Ag</vt:lpstr>
      <vt:lpstr>Cd</vt:lpstr>
      <vt:lpstr>La</vt:lpstr>
      <vt:lpstr>Hf</vt:lpstr>
      <vt:lpstr>Ta</vt:lpstr>
      <vt:lpstr>W</vt:lpstr>
      <vt:lpstr>Re</vt:lpstr>
      <vt:lpstr>Os</vt:lpstr>
      <vt:lpstr>Ir</vt:lpstr>
      <vt:lpstr>Pt</vt:lpstr>
      <vt:lpstr>Au</vt:lpstr>
      <vt:lpstr>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Irikura, Karl K. Dr. (Fed)</dc:creator>
  <cp:lastModifiedBy>Irikura, Karl K. Dr. (Fed)</cp:lastModifiedBy>
  <dcterms:created xsi:type="dcterms:W3CDTF">2015-06-05T18:17:20Z</dcterms:created>
  <dcterms:modified xsi:type="dcterms:W3CDTF">2023-06-23T15:26:05Z</dcterms:modified>
</cp:coreProperties>
</file>