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"/>
    </mc:Choice>
  </mc:AlternateContent>
  <xr:revisionPtr revIDLastSave="19" documentId="11_F25DC773A252ABDACC1048BFA95E751A5BDE58F9" xr6:coauthVersionLast="47" xr6:coauthVersionMax="47" xr10:uidLastSave="{DDCB1651-C3DC-415A-A7C5-DDD9128D406F}"/>
  <bookViews>
    <workbookView xWindow="-25320" yWindow="1725" windowWidth="25440" windowHeight="15390" activeTab="1" xr2:uid="{00000000-000D-0000-FFFF-FFFF00000000}"/>
  </bookViews>
  <sheets>
    <sheet name="Fe" sheetId="1" r:id="rId1"/>
    <sheet name="R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A251" i="1"/>
  <c r="B251" i="1"/>
  <c r="C251" i="1"/>
  <c r="D251" i="1"/>
  <c r="E251" i="1"/>
  <c r="F251" i="1"/>
  <c r="G251" i="1"/>
  <c r="H251" i="1"/>
  <c r="I251" i="1"/>
  <c r="J251" i="1"/>
  <c r="A252" i="1"/>
  <c r="B252" i="1"/>
  <c r="C252" i="1"/>
  <c r="D252" i="1"/>
  <c r="E252" i="1"/>
  <c r="F252" i="1"/>
  <c r="G252" i="1"/>
  <c r="H252" i="1"/>
  <c r="I252" i="1"/>
  <c r="J252" i="1"/>
  <c r="A253" i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A255" i="1"/>
  <c r="B255" i="1"/>
  <c r="C255" i="1"/>
  <c r="D255" i="1"/>
  <c r="E255" i="1"/>
  <c r="F255" i="1"/>
  <c r="G255" i="1"/>
  <c r="H255" i="1"/>
  <c r="I255" i="1"/>
  <c r="J255" i="1"/>
  <c r="A256" i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A258" i="1"/>
  <c r="B258" i="1"/>
  <c r="C258" i="1"/>
  <c r="D258" i="1"/>
  <c r="E258" i="1"/>
  <c r="F258" i="1"/>
  <c r="G258" i="1"/>
  <c r="H258" i="1"/>
  <c r="I258" i="1"/>
  <c r="J258" i="1"/>
  <c r="A259" i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A261" i="1"/>
  <c r="B261" i="1"/>
  <c r="C261" i="1"/>
  <c r="D261" i="1"/>
  <c r="E261" i="1"/>
  <c r="F261" i="1"/>
  <c r="G261" i="1"/>
  <c r="H261" i="1"/>
  <c r="I261" i="1"/>
  <c r="J261" i="1"/>
  <c r="A262" i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J263" i="1"/>
  <c r="A264" i="1"/>
  <c r="B264" i="1"/>
  <c r="C264" i="1"/>
  <c r="D264" i="1"/>
  <c r="E264" i="1"/>
  <c r="F264" i="1"/>
  <c r="G264" i="1"/>
  <c r="H264" i="1"/>
  <c r="I264" i="1"/>
  <c r="J264" i="1"/>
  <c r="A265" i="1"/>
  <c r="B265" i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I266" i="1"/>
  <c r="J266" i="1"/>
  <c r="A267" i="1"/>
  <c r="B267" i="1"/>
  <c r="C267" i="1"/>
  <c r="D267" i="1"/>
  <c r="E267" i="1"/>
  <c r="F267" i="1"/>
  <c r="G267" i="1"/>
  <c r="H267" i="1"/>
  <c r="I267" i="1"/>
  <c r="J267" i="1"/>
  <c r="A268" i="1"/>
  <c r="B268" i="1"/>
  <c r="C268" i="1"/>
  <c r="D268" i="1"/>
  <c r="E268" i="1"/>
  <c r="F268" i="1"/>
  <c r="G268" i="1"/>
  <c r="H268" i="1"/>
  <c r="I268" i="1"/>
  <c r="J268" i="1"/>
  <c r="A269" i="1"/>
  <c r="B269" i="1"/>
  <c r="C269" i="1"/>
  <c r="D269" i="1"/>
  <c r="E269" i="1"/>
  <c r="F269" i="1"/>
  <c r="G269" i="1"/>
  <c r="H269" i="1"/>
  <c r="I269" i="1"/>
  <c r="J269" i="1"/>
  <c r="A270" i="1"/>
  <c r="B270" i="1"/>
  <c r="C270" i="1"/>
  <c r="D270" i="1"/>
  <c r="E270" i="1"/>
  <c r="F270" i="1"/>
  <c r="G270" i="1"/>
  <c r="H270" i="1"/>
  <c r="I270" i="1"/>
  <c r="J270" i="1"/>
  <c r="A271" i="1"/>
  <c r="B271" i="1"/>
  <c r="C271" i="1"/>
  <c r="D271" i="1"/>
  <c r="E271" i="1"/>
  <c r="F271" i="1"/>
  <c r="G271" i="1"/>
  <c r="H271" i="1"/>
  <c r="I271" i="1"/>
  <c r="J271" i="1"/>
  <c r="A272" i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A274" i="1"/>
  <c r="B274" i="1"/>
  <c r="C274" i="1"/>
  <c r="D274" i="1"/>
  <c r="E274" i="1"/>
  <c r="F274" i="1"/>
  <c r="G274" i="1"/>
  <c r="H274" i="1"/>
  <c r="I274" i="1"/>
  <c r="J274" i="1"/>
  <c r="A275" i="1"/>
  <c r="B275" i="1"/>
  <c r="C275" i="1"/>
  <c r="D275" i="1"/>
  <c r="E275" i="1"/>
  <c r="F275" i="1"/>
  <c r="G275" i="1"/>
  <c r="H275" i="1"/>
  <c r="I275" i="1"/>
  <c r="J275" i="1"/>
  <c r="A276" i="1"/>
  <c r="B276" i="1"/>
  <c r="C276" i="1"/>
  <c r="D276" i="1"/>
  <c r="E276" i="1"/>
  <c r="F276" i="1"/>
  <c r="G276" i="1"/>
  <c r="H276" i="1"/>
  <c r="I276" i="1"/>
  <c r="J276" i="1"/>
  <c r="A277" i="1"/>
  <c r="B277" i="1"/>
  <c r="C277" i="1"/>
  <c r="D277" i="1"/>
  <c r="E277" i="1"/>
  <c r="F277" i="1"/>
  <c r="G277" i="1"/>
  <c r="H277" i="1"/>
  <c r="I277" i="1"/>
  <c r="J277" i="1"/>
  <c r="A278" i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J279" i="1"/>
  <c r="A280" i="1"/>
  <c r="B280" i="1"/>
  <c r="C280" i="1"/>
  <c r="D280" i="1"/>
  <c r="E280" i="1"/>
  <c r="F280" i="1"/>
  <c r="G280" i="1"/>
  <c r="H280" i="1"/>
  <c r="I280" i="1"/>
  <c r="J280" i="1"/>
  <c r="A281" i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I282" i="1"/>
  <c r="J282" i="1"/>
  <c r="A283" i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A296" i="1"/>
  <c r="B296" i="1"/>
  <c r="C296" i="1"/>
  <c r="D296" i="1"/>
  <c r="E296" i="1"/>
  <c r="F296" i="1"/>
  <c r="G296" i="1"/>
  <c r="H296" i="1"/>
  <c r="I296" i="1"/>
  <c r="J296" i="1"/>
  <c r="A297" i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I298" i="1"/>
  <c r="J298" i="1"/>
  <c r="A299" i="1"/>
  <c r="B299" i="1"/>
  <c r="C299" i="1"/>
  <c r="D299" i="1"/>
  <c r="E299" i="1"/>
  <c r="F299" i="1"/>
  <c r="G299" i="1"/>
  <c r="H299" i="1"/>
  <c r="I299" i="1"/>
  <c r="J299" i="1"/>
  <c r="A300" i="1"/>
  <c r="B300" i="1"/>
  <c r="C300" i="1"/>
  <c r="D300" i="1"/>
  <c r="E300" i="1"/>
  <c r="F300" i="1"/>
  <c r="G300" i="1"/>
  <c r="H300" i="1"/>
  <c r="I300" i="1"/>
  <c r="J300" i="1"/>
  <c r="A301" i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J302" i="1"/>
  <c r="A303" i="1"/>
  <c r="B303" i="1"/>
  <c r="C303" i="1"/>
  <c r="D303" i="1"/>
  <c r="E303" i="1"/>
  <c r="F303" i="1"/>
  <c r="G303" i="1"/>
  <c r="H303" i="1"/>
  <c r="I303" i="1"/>
  <c r="J303" i="1"/>
  <c r="A304" i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A306" i="1"/>
  <c r="B306" i="1"/>
  <c r="C306" i="1"/>
  <c r="D306" i="1"/>
  <c r="E306" i="1"/>
  <c r="F306" i="1"/>
  <c r="G306" i="1"/>
  <c r="H306" i="1"/>
  <c r="I306" i="1"/>
  <c r="J306" i="1"/>
  <c r="A307" i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A309" i="1"/>
  <c r="B309" i="1"/>
  <c r="C309" i="1"/>
  <c r="D309" i="1"/>
  <c r="E309" i="1"/>
  <c r="F309" i="1"/>
  <c r="G309" i="1"/>
  <c r="H309" i="1"/>
  <c r="I309" i="1"/>
  <c r="J309" i="1"/>
  <c r="A310" i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J311" i="1"/>
  <c r="A312" i="1"/>
  <c r="B312" i="1"/>
  <c r="C312" i="1"/>
  <c r="D312" i="1"/>
  <c r="E312" i="1"/>
  <c r="F312" i="1"/>
  <c r="G312" i="1"/>
  <c r="H312" i="1"/>
  <c r="I312" i="1"/>
  <c r="J312" i="1"/>
  <c r="A313" i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I314" i="1"/>
  <c r="J314" i="1"/>
  <c r="A315" i="1"/>
  <c r="B315" i="1"/>
  <c r="C315" i="1"/>
  <c r="D315" i="1"/>
  <c r="E315" i="1"/>
  <c r="F315" i="1"/>
  <c r="G315" i="1"/>
  <c r="H315" i="1"/>
  <c r="I315" i="1"/>
  <c r="J315" i="1"/>
  <c r="A316" i="1"/>
  <c r="B316" i="1"/>
  <c r="C316" i="1"/>
  <c r="D316" i="1"/>
  <c r="E316" i="1"/>
  <c r="F316" i="1"/>
  <c r="G316" i="1"/>
  <c r="H316" i="1"/>
  <c r="I316" i="1"/>
  <c r="J316" i="1"/>
  <c r="A317" i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A319" i="1"/>
  <c r="B319" i="1"/>
  <c r="C319" i="1"/>
  <c r="D319" i="1"/>
  <c r="E319" i="1"/>
  <c r="F319" i="1"/>
  <c r="G319" i="1"/>
  <c r="H319" i="1"/>
  <c r="I319" i="1"/>
  <c r="J319" i="1"/>
  <c r="A320" i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A322" i="1"/>
  <c r="B322" i="1"/>
  <c r="C322" i="1"/>
  <c r="D322" i="1"/>
  <c r="E322" i="1"/>
  <c r="F322" i="1"/>
  <c r="G322" i="1"/>
  <c r="H322" i="1"/>
  <c r="I322" i="1"/>
  <c r="J322" i="1"/>
  <c r="A323" i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A325" i="1"/>
  <c r="B325" i="1"/>
  <c r="C325" i="1"/>
  <c r="D325" i="1"/>
  <c r="E325" i="1"/>
  <c r="F325" i="1"/>
  <c r="G325" i="1"/>
  <c r="H325" i="1"/>
  <c r="I325" i="1"/>
  <c r="J325" i="1"/>
  <c r="A326" i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J327" i="1"/>
  <c r="A328" i="1"/>
  <c r="B328" i="1"/>
  <c r="C328" i="1"/>
  <c r="D328" i="1"/>
  <c r="E328" i="1"/>
  <c r="F328" i="1"/>
  <c r="G328" i="1"/>
  <c r="H328" i="1"/>
  <c r="I328" i="1"/>
  <c r="J328" i="1"/>
  <c r="A329" i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I330" i="1"/>
  <c r="J330" i="1"/>
  <c r="A331" i="1"/>
  <c r="B331" i="1"/>
  <c r="C331" i="1"/>
  <c r="D331" i="1"/>
  <c r="E331" i="1"/>
  <c r="F331" i="1"/>
  <c r="G331" i="1"/>
  <c r="H331" i="1"/>
  <c r="I331" i="1"/>
  <c r="J331" i="1"/>
  <c r="A332" i="1"/>
  <c r="B332" i="1"/>
  <c r="C332" i="1"/>
  <c r="D332" i="1"/>
  <c r="E332" i="1"/>
  <c r="F332" i="1"/>
  <c r="G332" i="1"/>
  <c r="H332" i="1"/>
  <c r="I332" i="1"/>
  <c r="J332" i="1"/>
  <c r="A333" i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A335" i="1"/>
  <c r="B335" i="1"/>
  <c r="C335" i="1"/>
  <c r="D335" i="1"/>
  <c r="E335" i="1"/>
  <c r="F335" i="1"/>
  <c r="G335" i="1"/>
  <c r="H335" i="1"/>
  <c r="I335" i="1"/>
  <c r="J335" i="1"/>
  <c r="A336" i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A338" i="1"/>
  <c r="B338" i="1"/>
  <c r="C338" i="1"/>
  <c r="D338" i="1"/>
  <c r="E338" i="1"/>
  <c r="F338" i="1"/>
  <c r="G338" i="1"/>
  <c r="H338" i="1"/>
  <c r="I338" i="1"/>
  <c r="J338" i="1"/>
  <c r="A339" i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A341" i="1"/>
  <c r="B341" i="1"/>
  <c r="C341" i="1"/>
  <c r="D341" i="1"/>
  <c r="E341" i="1"/>
  <c r="F341" i="1"/>
  <c r="G341" i="1"/>
  <c r="H341" i="1"/>
  <c r="I341" i="1"/>
  <c r="J341" i="1"/>
  <c r="A342" i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J343" i="1"/>
  <c r="A344" i="1"/>
  <c r="B344" i="1"/>
  <c r="C344" i="1"/>
  <c r="D344" i="1"/>
  <c r="E344" i="1"/>
  <c r="F344" i="1"/>
  <c r="G344" i="1"/>
  <c r="H344" i="1"/>
  <c r="I344" i="1"/>
  <c r="J344" i="1"/>
  <c r="A345" i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I346" i="1"/>
  <c r="J346" i="1"/>
  <c r="A347" i="1"/>
  <c r="B347" i="1"/>
  <c r="C347" i="1"/>
  <c r="D347" i="1"/>
  <c r="E347" i="1"/>
  <c r="F347" i="1"/>
  <c r="G347" i="1"/>
  <c r="H347" i="1"/>
  <c r="I347" i="1"/>
  <c r="J347" i="1"/>
  <c r="A348" i="1"/>
  <c r="B348" i="1"/>
  <c r="C348" i="1"/>
  <c r="D348" i="1"/>
  <c r="E348" i="1"/>
  <c r="F348" i="1"/>
  <c r="G348" i="1"/>
  <c r="H348" i="1"/>
  <c r="I348" i="1"/>
  <c r="J348" i="1"/>
  <c r="A349" i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I410" i="1"/>
  <c r="J410" i="1"/>
  <c r="A411" i="1"/>
  <c r="B411" i="1"/>
  <c r="C411" i="1"/>
  <c r="D411" i="1"/>
  <c r="E411" i="1"/>
  <c r="F411" i="1"/>
  <c r="G411" i="1"/>
  <c r="H411" i="1"/>
  <c r="I411" i="1"/>
  <c r="J411" i="1"/>
  <c r="A412" i="1"/>
  <c r="B412" i="1"/>
  <c r="C412" i="1"/>
  <c r="D412" i="1"/>
  <c r="E412" i="1"/>
  <c r="F412" i="1"/>
  <c r="G412" i="1"/>
  <c r="H412" i="1"/>
  <c r="I412" i="1"/>
  <c r="J412" i="1"/>
  <c r="A413" i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J414" i="1"/>
  <c r="A415" i="1"/>
  <c r="B415" i="1"/>
  <c r="C415" i="1"/>
  <c r="D415" i="1"/>
  <c r="E415" i="1"/>
  <c r="F415" i="1"/>
  <c r="G415" i="1"/>
  <c r="H415" i="1"/>
  <c r="I415" i="1"/>
  <c r="J415" i="1"/>
  <c r="A416" i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A418" i="1"/>
  <c r="B418" i="1"/>
  <c r="C418" i="1"/>
  <c r="D418" i="1"/>
  <c r="E418" i="1"/>
  <c r="F418" i="1"/>
  <c r="G418" i="1"/>
  <c r="H418" i="1"/>
  <c r="I418" i="1"/>
  <c r="J418" i="1"/>
  <c r="A419" i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A421" i="1"/>
  <c r="B421" i="1"/>
  <c r="C421" i="1"/>
  <c r="D421" i="1"/>
  <c r="E421" i="1"/>
  <c r="F421" i="1"/>
  <c r="G421" i="1"/>
  <c r="H421" i="1"/>
  <c r="I421" i="1"/>
  <c r="J421" i="1"/>
  <c r="A422" i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J423" i="1"/>
  <c r="A424" i="1"/>
  <c r="B424" i="1"/>
  <c r="C424" i="1"/>
  <c r="D424" i="1"/>
  <c r="E424" i="1"/>
  <c r="F424" i="1"/>
  <c r="G424" i="1"/>
  <c r="H424" i="1"/>
  <c r="I424" i="1"/>
  <c r="J424" i="1"/>
  <c r="A425" i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I426" i="1"/>
  <c r="J426" i="1"/>
  <c r="A427" i="1"/>
  <c r="B427" i="1"/>
  <c r="C427" i="1"/>
  <c r="D427" i="1"/>
  <c r="E427" i="1"/>
  <c r="F427" i="1"/>
  <c r="G427" i="1"/>
  <c r="H427" i="1"/>
  <c r="I427" i="1"/>
  <c r="J427" i="1"/>
  <c r="A428" i="1"/>
  <c r="B428" i="1"/>
  <c r="C428" i="1"/>
  <c r="D428" i="1"/>
  <c r="E428" i="1"/>
  <c r="F428" i="1"/>
  <c r="G428" i="1"/>
  <c r="H428" i="1"/>
  <c r="I428" i="1"/>
  <c r="J428" i="1"/>
  <c r="A429" i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J430" i="1"/>
  <c r="A431" i="1"/>
  <c r="B431" i="1"/>
  <c r="C431" i="1"/>
  <c r="D431" i="1"/>
  <c r="E431" i="1"/>
  <c r="F431" i="1"/>
  <c r="G431" i="1"/>
  <c r="H431" i="1"/>
  <c r="I431" i="1"/>
  <c r="J431" i="1"/>
  <c r="A432" i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A434" i="1"/>
  <c r="B434" i="1"/>
  <c r="C434" i="1"/>
  <c r="D434" i="1"/>
  <c r="E434" i="1"/>
  <c r="F434" i="1"/>
  <c r="G434" i="1"/>
  <c r="H434" i="1"/>
  <c r="I434" i="1"/>
  <c r="J434" i="1"/>
  <c r="A435" i="1"/>
  <c r="B435" i="1"/>
  <c r="C435" i="1"/>
  <c r="D435" i="1"/>
  <c r="E435" i="1"/>
  <c r="F435" i="1"/>
  <c r="G435" i="1"/>
  <c r="H435" i="1"/>
  <c r="I435" i="1"/>
  <c r="J435" i="1"/>
  <c r="A436" i="1"/>
  <c r="B436" i="1"/>
  <c r="C436" i="1"/>
  <c r="D436" i="1"/>
  <c r="E436" i="1"/>
  <c r="F436" i="1"/>
  <c r="G436" i="1"/>
  <c r="H436" i="1"/>
  <c r="I436" i="1"/>
  <c r="J436" i="1"/>
  <c r="A437" i="1"/>
  <c r="B437" i="1"/>
  <c r="C437" i="1"/>
  <c r="D437" i="1"/>
  <c r="E437" i="1"/>
  <c r="F437" i="1"/>
  <c r="G437" i="1"/>
  <c r="H437" i="1"/>
  <c r="I437" i="1"/>
  <c r="J437" i="1"/>
  <c r="A438" i="1"/>
  <c r="B438" i="1"/>
  <c r="C438" i="1"/>
  <c r="D438" i="1"/>
  <c r="E438" i="1"/>
  <c r="F438" i="1"/>
  <c r="G438" i="1"/>
  <c r="H438" i="1"/>
  <c r="I438" i="1"/>
  <c r="J438" i="1"/>
  <c r="A439" i="1"/>
  <c r="B439" i="1"/>
  <c r="C439" i="1"/>
  <c r="D439" i="1"/>
  <c r="E439" i="1"/>
  <c r="F439" i="1"/>
  <c r="G439" i="1"/>
  <c r="H439" i="1"/>
  <c r="I439" i="1"/>
  <c r="J439" i="1"/>
  <c r="A440" i="1"/>
  <c r="B440" i="1"/>
  <c r="C440" i="1"/>
  <c r="D440" i="1"/>
  <c r="E440" i="1"/>
  <c r="F440" i="1"/>
  <c r="G440" i="1"/>
  <c r="H440" i="1"/>
  <c r="I440" i="1"/>
  <c r="J440" i="1"/>
  <c r="A441" i="1"/>
  <c r="B441" i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I442" i="1"/>
  <c r="J442" i="1"/>
  <c r="A443" i="1"/>
  <c r="B443" i="1"/>
  <c r="C443" i="1"/>
  <c r="D443" i="1"/>
  <c r="E443" i="1"/>
  <c r="F443" i="1"/>
  <c r="G443" i="1"/>
  <c r="H443" i="1"/>
  <c r="I443" i="1"/>
  <c r="J443" i="1"/>
  <c r="A444" i="1"/>
  <c r="B444" i="1"/>
  <c r="C444" i="1"/>
  <c r="D444" i="1"/>
  <c r="E444" i="1"/>
  <c r="F444" i="1"/>
  <c r="G444" i="1"/>
  <c r="H444" i="1"/>
  <c r="I444" i="1"/>
  <c r="J444" i="1"/>
  <c r="A445" i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J446" i="1"/>
  <c r="A447" i="1"/>
  <c r="B447" i="1"/>
  <c r="C447" i="1"/>
  <c r="D447" i="1"/>
  <c r="E447" i="1"/>
  <c r="F447" i="1"/>
  <c r="G447" i="1"/>
  <c r="H447" i="1"/>
  <c r="I447" i="1"/>
  <c r="J447" i="1"/>
  <c r="A448" i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A450" i="1"/>
  <c r="B450" i="1"/>
  <c r="C450" i="1"/>
  <c r="D450" i="1"/>
  <c r="E450" i="1"/>
  <c r="F450" i="1"/>
  <c r="G450" i="1"/>
  <c r="H450" i="1"/>
  <c r="I450" i="1"/>
  <c r="J450" i="1"/>
  <c r="A451" i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A470" i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A476" i="1"/>
  <c r="B476" i="1"/>
  <c r="C476" i="1"/>
  <c r="D476" i="1"/>
  <c r="E476" i="1"/>
  <c r="F476" i="1"/>
  <c r="G476" i="1"/>
  <c r="H476" i="1"/>
  <c r="I476" i="1"/>
  <c r="J476" i="1"/>
  <c r="A477" i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J478" i="1"/>
  <c r="A479" i="1"/>
  <c r="B479" i="1"/>
  <c r="C479" i="1"/>
  <c r="D479" i="1"/>
  <c r="E479" i="1"/>
  <c r="F479" i="1"/>
  <c r="G479" i="1"/>
  <c r="H479" i="1"/>
  <c r="I479" i="1"/>
  <c r="J479" i="1"/>
  <c r="A480" i="1"/>
  <c r="B480" i="1"/>
  <c r="C480" i="1"/>
  <c r="D480" i="1"/>
  <c r="E480" i="1"/>
  <c r="F480" i="1"/>
  <c r="G480" i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A482" i="1"/>
  <c r="B482" i="1"/>
  <c r="C482" i="1"/>
  <c r="D482" i="1"/>
  <c r="E482" i="1"/>
  <c r="F482" i="1"/>
  <c r="G482" i="1"/>
  <c r="H482" i="1"/>
  <c r="I482" i="1"/>
  <c r="J482" i="1"/>
  <c r="A483" i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A485" i="1"/>
  <c r="B485" i="1"/>
  <c r="C485" i="1"/>
  <c r="D485" i="1"/>
  <c r="E485" i="1"/>
  <c r="F485" i="1"/>
  <c r="G485" i="1"/>
  <c r="H485" i="1"/>
  <c r="I485" i="1"/>
  <c r="J485" i="1"/>
  <c r="A486" i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J487" i="1"/>
  <c r="A488" i="1"/>
  <c r="B488" i="1"/>
  <c r="C488" i="1"/>
  <c r="D488" i="1"/>
  <c r="E488" i="1"/>
  <c r="F488" i="1"/>
  <c r="G488" i="1"/>
  <c r="H488" i="1"/>
  <c r="I488" i="1"/>
  <c r="J488" i="1"/>
  <c r="A489" i="1"/>
  <c r="B489" i="1"/>
  <c r="C489" i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I490" i="1"/>
  <c r="J490" i="1"/>
  <c r="A491" i="1"/>
  <c r="B491" i="1"/>
  <c r="C491" i="1"/>
  <c r="D491" i="1"/>
  <c r="E491" i="1"/>
  <c r="F491" i="1"/>
  <c r="G491" i="1"/>
  <c r="H491" i="1"/>
  <c r="I491" i="1"/>
  <c r="J491" i="1"/>
  <c r="A492" i="1"/>
  <c r="B492" i="1"/>
  <c r="C492" i="1"/>
  <c r="D492" i="1"/>
  <c r="E492" i="1"/>
  <c r="F492" i="1"/>
  <c r="G492" i="1"/>
  <c r="H492" i="1"/>
  <c r="I492" i="1"/>
  <c r="J492" i="1"/>
  <c r="A493" i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E494" i="1"/>
  <c r="F494" i="1"/>
  <c r="G494" i="1"/>
  <c r="H494" i="1"/>
  <c r="I494" i="1"/>
  <c r="J494" i="1"/>
  <c r="A495" i="1"/>
  <c r="B495" i="1"/>
  <c r="C495" i="1"/>
  <c r="D495" i="1"/>
  <c r="E495" i="1"/>
  <c r="F495" i="1"/>
  <c r="G495" i="1"/>
  <c r="H495" i="1"/>
  <c r="I495" i="1"/>
  <c r="J495" i="1"/>
  <c r="A496" i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A498" i="1"/>
  <c r="B498" i="1"/>
  <c r="C498" i="1"/>
  <c r="D498" i="1"/>
  <c r="E498" i="1"/>
  <c r="F498" i="1"/>
  <c r="G498" i="1"/>
  <c r="H498" i="1"/>
  <c r="I498" i="1"/>
  <c r="J498" i="1"/>
  <c r="A499" i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A501" i="1"/>
  <c r="B501" i="1"/>
  <c r="C501" i="1"/>
  <c r="D501" i="1"/>
  <c r="E501" i="1"/>
  <c r="F501" i="1"/>
  <c r="G501" i="1"/>
  <c r="H501" i="1"/>
  <c r="I501" i="1"/>
  <c r="J501" i="1"/>
  <c r="A502" i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J503" i="1"/>
  <c r="A504" i="1"/>
  <c r="B504" i="1"/>
  <c r="C504" i="1"/>
  <c r="D504" i="1"/>
  <c r="E504" i="1"/>
  <c r="F504" i="1"/>
  <c r="G504" i="1"/>
  <c r="H504" i="1"/>
  <c r="I504" i="1"/>
  <c r="J504" i="1"/>
  <c r="A505" i="1"/>
  <c r="B505" i="1"/>
  <c r="C505" i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I506" i="1"/>
  <c r="J506" i="1"/>
  <c r="A507" i="1"/>
  <c r="B507" i="1"/>
  <c r="C507" i="1"/>
  <c r="D507" i="1"/>
  <c r="E507" i="1"/>
  <c r="F507" i="1"/>
  <c r="G507" i="1"/>
  <c r="H507" i="1"/>
  <c r="I507" i="1"/>
  <c r="J507" i="1"/>
  <c r="A508" i="1"/>
  <c r="B508" i="1"/>
  <c r="C508" i="1"/>
  <c r="D508" i="1"/>
  <c r="E508" i="1"/>
  <c r="F508" i="1"/>
  <c r="G508" i="1"/>
  <c r="H508" i="1"/>
  <c r="I508" i="1"/>
  <c r="J508" i="1"/>
  <c r="A509" i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E510" i="1"/>
  <c r="F510" i="1"/>
  <c r="G510" i="1"/>
  <c r="H510" i="1"/>
  <c r="I510" i="1"/>
  <c r="J510" i="1"/>
  <c r="A511" i="1"/>
  <c r="B511" i="1"/>
  <c r="C511" i="1"/>
  <c r="D511" i="1"/>
  <c r="E511" i="1"/>
  <c r="F511" i="1"/>
  <c r="G511" i="1"/>
  <c r="H511" i="1"/>
  <c r="I511" i="1"/>
  <c r="J511" i="1"/>
  <c r="A512" i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A514" i="1"/>
  <c r="B514" i="1"/>
  <c r="C514" i="1"/>
  <c r="D514" i="1"/>
  <c r="E514" i="1"/>
  <c r="F514" i="1"/>
  <c r="G514" i="1"/>
  <c r="H514" i="1"/>
  <c r="I514" i="1"/>
  <c r="J514" i="1"/>
  <c r="A515" i="1"/>
  <c r="B515" i="1"/>
  <c r="C515" i="1"/>
  <c r="D515" i="1"/>
  <c r="E515" i="1"/>
  <c r="F515" i="1"/>
  <c r="G515" i="1"/>
  <c r="H515" i="1"/>
  <c r="I515" i="1"/>
  <c r="J515" i="1"/>
  <c r="A516" i="1"/>
  <c r="B516" i="1"/>
  <c r="C516" i="1"/>
  <c r="D516" i="1"/>
  <c r="E516" i="1"/>
  <c r="F516" i="1"/>
  <c r="G516" i="1"/>
  <c r="H516" i="1"/>
  <c r="I516" i="1"/>
  <c r="J516" i="1"/>
  <c r="A517" i="1"/>
  <c r="B517" i="1"/>
  <c r="C517" i="1"/>
  <c r="D517" i="1"/>
  <c r="E517" i="1"/>
  <c r="F517" i="1"/>
  <c r="G517" i="1"/>
  <c r="H517" i="1"/>
  <c r="I517" i="1"/>
  <c r="J517" i="1"/>
  <c r="A518" i="1"/>
  <c r="B518" i="1"/>
  <c r="C518" i="1"/>
  <c r="D518" i="1"/>
  <c r="E518" i="1"/>
  <c r="F518" i="1"/>
  <c r="G518" i="1"/>
  <c r="H518" i="1"/>
  <c r="I518" i="1"/>
  <c r="J518" i="1"/>
  <c r="A519" i="1"/>
  <c r="B519" i="1"/>
  <c r="C519" i="1"/>
  <c r="D519" i="1"/>
  <c r="E519" i="1"/>
  <c r="F519" i="1"/>
  <c r="G519" i="1"/>
  <c r="H519" i="1"/>
  <c r="I519" i="1"/>
  <c r="J519" i="1"/>
  <c r="A520" i="1"/>
  <c r="B520" i="1"/>
  <c r="C520" i="1"/>
  <c r="D520" i="1"/>
  <c r="E520" i="1"/>
  <c r="F520" i="1"/>
  <c r="G520" i="1"/>
  <c r="H520" i="1"/>
  <c r="I520" i="1"/>
  <c r="J520" i="1"/>
  <c r="A521" i="1"/>
  <c r="B521" i="1"/>
  <c r="C521" i="1"/>
  <c r="D521" i="1"/>
  <c r="E521" i="1"/>
  <c r="F521" i="1"/>
  <c r="G521" i="1"/>
  <c r="H521" i="1"/>
  <c r="I521" i="1"/>
  <c r="J521" i="1"/>
  <c r="A522" i="1"/>
  <c r="B522" i="1"/>
  <c r="C522" i="1"/>
  <c r="D522" i="1"/>
  <c r="E522" i="1"/>
  <c r="F522" i="1"/>
  <c r="G522" i="1"/>
  <c r="H522" i="1"/>
  <c r="I522" i="1"/>
  <c r="J522" i="1"/>
  <c r="A523" i="1"/>
  <c r="B523" i="1"/>
  <c r="C523" i="1"/>
  <c r="D523" i="1"/>
  <c r="E523" i="1"/>
  <c r="F523" i="1"/>
  <c r="G523" i="1"/>
  <c r="H523" i="1"/>
  <c r="I523" i="1"/>
  <c r="J523" i="1"/>
  <c r="A524" i="1"/>
  <c r="B524" i="1"/>
  <c r="C524" i="1"/>
  <c r="D524" i="1"/>
  <c r="E524" i="1"/>
  <c r="F524" i="1"/>
  <c r="G524" i="1"/>
  <c r="H524" i="1"/>
  <c r="I524" i="1"/>
  <c r="J524" i="1"/>
  <c r="A525" i="1"/>
  <c r="B525" i="1"/>
  <c r="C525" i="1"/>
  <c r="D525" i="1"/>
  <c r="E525" i="1"/>
  <c r="F525" i="1"/>
  <c r="G525" i="1"/>
  <c r="H525" i="1"/>
  <c r="I525" i="1"/>
  <c r="J525" i="1"/>
  <c r="A526" i="1"/>
  <c r="B526" i="1"/>
  <c r="C526" i="1"/>
  <c r="D526" i="1"/>
  <c r="E526" i="1"/>
  <c r="F526" i="1"/>
  <c r="G526" i="1"/>
  <c r="H526" i="1"/>
  <c r="I526" i="1"/>
  <c r="J526" i="1"/>
  <c r="A527" i="1"/>
  <c r="B527" i="1"/>
  <c r="C527" i="1"/>
  <c r="D527" i="1"/>
  <c r="E527" i="1"/>
  <c r="F527" i="1"/>
  <c r="G527" i="1"/>
  <c r="H527" i="1"/>
  <c r="I527" i="1"/>
  <c r="J527" i="1"/>
  <c r="A528" i="1"/>
  <c r="B528" i="1"/>
  <c r="C528" i="1"/>
  <c r="D528" i="1"/>
  <c r="E528" i="1"/>
  <c r="F528" i="1"/>
  <c r="G528" i="1"/>
  <c r="H528" i="1"/>
  <c r="I528" i="1"/>
  <c r="J528" i="1"/>
  <c r="A529" i="1"/>
  <c r="B529" i="1"/>
  <c r="C529" i="1"/>
  <c r="D529" i="1"/>
  <c r="E529" i="1"/>
  <c r="F529" i="1"/>
  <c r="G529" i="1"/>
  <c r="H529" i="1"/>
  <c r="I529" i="1"/>
  <c r="J529" i="1"/>
  <c r="A530" i="1"/>
  <c r="B530" i="1"/>
  <c r="C530" i="1"/>
  <c r="D530" i="1"/>
  <c r="E530" i="1"/>
  <c r="F530" i="1"/>
  <c r="G530" i="1"/>
  <c r="H530" i="1"/>
  <c r="I530" i="1"/>
  <c r="J530" i="1"/>
  <c r="A531" i="1"/>
  <c r="B531" i="1"/>
  <c r="C531" i="1"/>
  <c r="D531" i="1"/>
  <c r="E531" i="1"/>
  <c r="F531" i="1"/>
  <c r="G531" i="1"/>
  <c r="H531" i="1"/>
  <c r="I531" i="1"/>
  <c r="J531" i="1"/>
  <c r="A532" i="1"/>
  <c r="B532" i="1"/>
  <c r="C532" i="1"/>
  <c r="D532" i="1"/>
  <c r="E532" i="1"/>
  <c r="F532" i="1"/>
  <c r="G532" i="1"/>
  <c r="H532" i="1"/>
  <c r="I532" i="1"/>
  <c r="J532" i="1"/>
  <c r="A533" i="1"/>
  <c r="B533" i="1"/>
  <c r="C533" i="1"/>
  <c r="D533" i="1"/>
  <c r="E533" i="1"/>
  <c r="F533" i="1"/>
  <c r="G533" i="1"/>
  <c r="H533" i="1"/>
  <c r="I533" i="1"/>
  <c r="J533" i="1"/>
  <c r="A534" i="1"/>
  <c r="B534" i="1"/>
  <c r="C534" i="1"/>
  <c r="D534" i="1"/>
  <c r="E534" i="1"/>
  <c r="F534" i="1"/>
  <c r="G534" i="1"/>
  <c r="H534" i="1"/>
  <c r="I534" i="1"/>
  <c r="J534" i="1"/>
  <c r="A535" i="1"/>
  <c r="B535" i="1"/>
  <c r="C535" i="1"/>
  <c r="D535" i="1"/>
  <c r="E535" i="1"/>
  <c r="F535" i="1"/>
  <c r="G535" i="1"/>
  <c r="H535" i="1"/>
  <c r="I535" i="1"/>
  <c r="J535" i="1"/>
  <c r="A536" i="1"/>
  <c r="B536" i="1"/>
  <c r="C536" i="1"/>
  <c r="D536" i="1"/>
  <c r="E536" i="1"/>
  <c r="F536" i="1"/>
  <c r="G536" i="1"/>
  <c r="H536" i="1"/>
  <c r="I536" i="1"/>
  <c r="J536" i="1"/>
  <c r="A537" i="1"/>
  <c r="B537" i="1"/>
  <c r="C537" i="1"/>
  <c r="D537" i="1"/>
  <c r="E537" i="1"/>
  <c r="F537" i="1"/>
  <c r="G537" i="1"/>
  <c r="H537" i="1"/>
  <c r="I537" i="1"/>
  <c r="J537" i="1"/>
  <c r="A538" i="1"/>
  <c r="B538" i="1"/>
  <c r="C538" i="1"/>
  <c r="D538" i="1"/>
  <c r="E538" i="1"/>
  <c r="F538" i="1"/>
  <c r="G538" i="1"/>
  <c r="H538" i="1"/>
  <c r="I538" i="1"/>
  <c r="J538" i="1"/>
  <c r="A539" i="1"/>
  <c r="B539" i="1"/>
  <c r="C539" i="1"/>
  <c r="D539" i="1"/>
  <c r="E539" i="1"/>
  <c r="F539" i="1"/>
  <c r="G539" i="1"/>
  <c r="H539" i="1"/>
  <c r="I539" i="1"/>
  <c r="J539" i="1"/>
  <c r="A540" i="1"/>
  <c r="B540" i="1"/>
  <c r="C540" i="1"/>
  <c r="D540" i="1"/>
  <c r="E540" i="1"/>
  <c r="F540" i="1"/>
  <c r="G540" i="1"/>
  <c r="H540" i="1"/>
  <c r="I540" i="1"/>
  <c r="J540" i="1"/>
  <c r="A541" i="1"/>
  <c r="B541" i="1"/>
  <c r="C541" i="1"/>
  <c r="D541" i="1"/>
  <c r="E541" i="1"/>
  <c r="F541" i="1"/>
  <c r="G541" i="1"/>
  <c r="H541" i="1"/>
  <c r="I541" i="1"/>
  <c r="J541" i="1"/>
  <c r="A542" i="1"/>
  <c r="B542" i="1"/>
  <c r="C542" i="1"/>
  <c r="D542" i="1"/>
  <c r="E542" i="1"/>
  <c r="F542" i="1"/>
  <c r="G542" i="1"/>
  <c r="H542" i="1"/>
  <c r="I542" i="1"/>
  <c r="J542" i="1"/>
  <c r="A543" i="1"/>
  <c r="B543" i="1"/>
  <c r="C543" i="1"/>
  <c r="D543" i="1"/>
  <c r="E543" i="1"/>
  <c r="F543" i="1"/>
  <c r="G543" i="1"/>
  <c r="H543" i="1"/>
  <c r="I543" i="1"/>
  <c r="J543" i="1"/>
  <c r="A544" i="1"/>
  <c r="B544" i="1"/>
  <c r="C544" i="1"/>
  <c r="D544" i="1"/>
  <c r="E544" i="1"/>
  <c r="F544" i="1"/>
  <c r="G544" i="1"/>
  <c r="H544" i="1"/>
  <c r="I544" i="1"/>
  <c r="J544" i="1"/>
  <c r="A545" i="1"/>
  <c r="B545" i="1"/>
  <c r="C545" i="1"/>
  <c r="D545" i="1"/>
  <c r="E545" i="1"/>
  <c r="F545" i="1"/>
  <c r="G545" i="1"/>
  <c r="H545" i="1"/>
  <c r="I545" i="1"/>
  <c r="J545" i="1"/>
  <c r="A546" i="1"/>
  <c r="B546" i="1"/>
  <c r="C546" i="1"/>
  <c r="D546" i="1"/>
  <c r="E546" i="1"/>
  <c r="F546" i="1"/>
  <c r="G546" i="1"/>
  <c r="H546" i="1"/>
  <c r="I546" i="1"/>
  <c r="J546" i="1"/>
  <c r="A547" i="1"/>
  <c r="B547" i="1"/>
  <c r="C547" i="1"/>
  <c r="D547" i="1"/>
  <c r="E547" i="1"/>
  <c r="F547" i="1"/>
  <c r="G547" i="1"/>
  <c r="H547" i="1"/>
  <c r="I547" i="1"/>
  <c r="J547" i="1"/>
  <c r="A548" i="1"/>
  <c r="B548" i="1"/>
  <c r="C548" i="1"/>
  <c r="D548" i="1"/>
  <c r="E548" i="1"/>
  <c r="F548" i="1"/>
  <c r="G548" i="1"/>
  <c r="H548" i="1"/>
  <c r="I548" i="1"/>
  <c r="J548" i="1"/>
  <c r="A549" i="1"/>
  <c r="B549" i="1"/>
  <c r="C549" i="1"/>
  <c r="D549" i="1"/>
  <c r="E549" i="1"/>
  <c r="F549" i="1"/>
  <c r="G549" i="1"/>
  <c r="H549" i="1"/>
  <c r="I549" i="1"/>
  <c r="J549" i="1"/>
  <c r="A550" i="1"/>
  <c r="B550" i="1"/>
  <c r="C550" i="1"/>
  <c r="D550" i="1"/>
  <c r="E550" i="1"/>
  <c r="F550" i="1"/>
  <c r="G550" i="1"/>
  <c r="H550" i="1"/>
  <c r="I550" i="1"/>
  <c r="J550" i="1"/>
  <c r="A551" i="1"/>
  <c r="B551" i="1"/>
  <c r="C551" i="1"/>
  <c r="D551" i="1"/>
  <c r="E551" i="1"/>
  <c r="F551" i="1"/>
  <c r="G551" i="1"/>
  <c r="H551" i="1"/>
  <c r="I551" i="1"/>
  <c r="J551" i="1"/>
  <c r="A552" i="1"/>
  <c r="B552" i="1"/>
  <c r="C552" i="1"/>
  <c r="D552" i="1"/>
  <c r="E552" i="1"/>
  <c r="F552" i="1"/>
  <c r="G552" i="1"/>
  <c r="H552" i="1"/>
  <c r="I552" i="1"/>
  <c r="J552" i="1"/>
  <c r="A553" i="1"/>
  <c r="B553" i="1"/>
  <c r="C553" i="1"/>
  <c r="D553" i="1"/>
  <c r="E553" i="1"/>
  <c r="F553" i="1"/>
  <c r="G553" i="1"/>
  <c r="H553" i="1"/>
  <c r="I553" i="1"/>
  <c r="J553" i="1"/>
  <c r="A554" i="1"/>
  <c r="B554" i="1"/>
  <c r="C554" i="1"/>
  <c r="D554" i="1"/>
  <c r="E554" i="1"/>
  <c r="F554" i="1"/>
  <c r="G554" i="1"/>
  <c r="H554" i="1"/>
  <c r="I554" i="1"/>
  <c r="J554" i="1"/>
  <c r="A555" i="1"/>
  <c r="B555" i="1"/>
  <c r="C555" i="1"/>
  <c r="D555" i="1"/>
  <c r="E555" i="1"/>
  <c r="F555" i="1"/>
  <c r="G555" i="1"/>
  <c r="H555" i="1"/>
  <c r="I555" i="1"/>
  <c r="J555" i="1"/>
  <c r="A556" i="1"/>
  <c r="B556" i="1"/>
  <c r="C556" i="1"/>
  <c r="D556" i="1"/>
  <c r="E556" i="1"/>
  <c r="F556" i="1"/>
  <c r="G556" i="1"/>
  <c r="H556" i="1"/>
  <c r="I556" i="1"/>
  <c r="J556" i="1"/>
  <c r="A557" i="1"/>
  <c r="B557" i="1"/>
  <c r="C557" i="1"/>
  <c r="D557" i="1"/>
  <c r="E557" i="1"/>
  <c r="F557" i="1"/>
  <c r="G557" i="1"/>
  <c r="H557" i="1"/>
  <c r="I557" i="1"/>
  <c r="J557" i="1"/>
  <c r="A558" i="1"/>
  <c r="B558" i="1"/>
  <c r="C558" i="1"/>
  <c r="D558" i="1"/>
  <c r="E558" i="1"/>
  <c r="F558" i="1"/>
  <c r="G558" i="1"/>
  <c r="H558" i="1"/>
  <c r="I558" i="1"/>
  <c r="J558" i="1"/>
  <c r="A559" i="1"/>
  <c r="B559" i="1"/>
  <c r="C559" i="1"/>
  <c r="D559" i="1"/>
  <c r="E559" i="1"/>
  <c r="F559" i="1"/>
  <c r="G559" i="1"/>
  <c r="H559" i="1"/>
  <c r="I559" i="1"/>
  <c r="J559" i="1"/>
  <c r="A560" i="1"/>
  <c r="B560" i="1"/>
  <c r="C560" i="1"/>
  <c r="D560" i="1"/>
  <c r="E560" i="1"/>
  <c r="F560" i="1"/>
  <c r="G560" i="1"/>
  <c r="H560" i="1"/>
  <c r="I560" i="1"/>
  <c r="J560" i="1"/>
  <c r="A561" i="1"/>
  <c r="B561" i="1"/>
  <c r="C561" i="1"/>
  <c r="D561" i="1"/>
  <c r="E561" i="1"/>
  <c r="F561" i="1"/>
  <c r="G561" i="1"/>
  <c r="H561" i="1"/>
  <c r="I561" i="1"/>
  <c r="J561" i="1"/>
  <c r="A562" i="1"/>
  <c r="B562" i="1"/>
  <c r="C562" i="1"/>
  <c r="D562" i="1"/>
  <c r="E562" i="1"/>
  <c r="F562" i="1"/>
  <c r="G562" i="1"/>
  <c r="H562" i="1"/>
  <c r="I562" i="1"/>
  <c r="J562" i="1"/>
  <c r="A563" i="1"/>
  <c r="B563" i="1"/>
  <c r="C563" i="1"/>
  <c r="D563" i="1"/>
  <c r="E563" i="1"/>
  <c r="F563" i="1"/>
  <c r="G563" i="1"/>
  <c r="H563" i="1"/>
  <c r="I563" i="1"/>
  <c r="J563" i="1"/>
  <c r="A564" i="1"/>
  <c r="B564" i="1"/>
  <c r="C564" i="1"/>
  <c r="D564" i="1"/>
  <c r="E564" i="1"/>
  <c r="F564" i="1"/>
  <c r="G564" i="1"/>
  <c r="H564" i="1"/>
  <c r="I564" i="1"/>
  <c r="J564" i="1"/>
  <c r="A565" i="1"/>
  <c r="B565" i="1"/>
  <c r="C565" i="1"/>
  <c r="D565" i="1"/>
  <c r="E565" i="1"/>
  <c r="F565" i="1"/>
  <c r="G565" i="1"/>
  <c r="H565" i="1"/>
  <c r="I565" i="1"/>
  <c r="J565" i="1"/>
  <c r="A566" i="1"/>
  <c r="B566" i="1"/>
  <c r="C566" i="1"/>
  <c r="D566" i="1"/>
  <c r="E566" i="1"/>
  <c r="F566" i="1"/>
  <c r="G566" i="1"/>
  <c r="H566" i="1"/>
  <c r="I566" i="1"/>
  <c r="J566" i="1"/>
  <c r="A567" i="1"/>
  <c r="B567" i="1"/>
  <c r="C567" i="1"/>
  <c r="D567" i="1"/>
  <c r="E567" i="1"/>
  <c r="F567" i="1"/>
  <c r="G567" i="1"/>
  <c r="H567" i="1"/>
  <c r="I567" i="1"/>
  <c r="J567" i="1"/>
  <c r="A568" i="1"/>
  <c r="B568" i="1"/>
  <c r="C568" i="1"/>
  <c r="D568" i="1"/>
  <c r="E568" i="1"/>
  <c r="F568" i="1"/>
  <c r="G568" i="1"/>
  <c r="H568" i="1"/>
  <c r="I568" i="1"/>
  <c r="J568" i="1"/>
  <c r="A569" i="1"/>
  <c r="B569" i="1"/>
  <c r="C569" i="1"/>
  <c r="D569" i="1"/>
  <c r="E569" i="1"/>
  <c r="F569" i="1"/>
  <c r="G569" i="1"/>
  <c r="H569" i="1"/>
  <c r="I569" i="1"/>
  <c r="J569" i="1"/>
  <c r="A570" i="1"/>
  <c r="B570" i="1"/>
  <c r="C570" i="1"/>
  <c r="D570" i="1"/>
  <c r="E570" i="1"/>
  <c r="F570" i="1"/>
  <c r="G570" i="1"/>
  <c r="H570" i="1"/>
  <c r="I570" i="1"/>
  <c r="J570" i="1"/>
  <c r="A571" i="1"/>
  <c r="B571" i="1"/>
  <c r="C571" i="1"/>
  <c r="D571" i="1"/>
  <c r="E571" i="1"/>
  <c r="F571" i="1"/>
  <c r="G571" i="1"/>
  <c r="H571" i="1"/>
  <c r="I571" i="1"/>
  <c r="J571" i="1"/>
  <c r="A572" i="1"/>
  <c r="B572" i="1"/>
  <c r="C572" i="1"/>
  <c r="D572" i="1"/>
  <c r="E572" i="1"/>
  <c r="F572" i="1"/>
  <c r="G572" i="1"/>
  <c r="H572" i="1"/>
  <c r="I572" i="1"/>
  <c r="J572" i="1"/>
  <c r="A573" i="1"/>
  <c r="B573" i="1"/>
  <c r="C573" i="1"/>
  <c r="D573" i="1"/>
  <c r="E573" i="1"/>
  <c r="F573" i="1"/>
  <c r="G573" i="1"/>
  <c r="H573" i="1"/>
  <c r="I573" i="1"/>
  <c r="J573" i="1"/>
  <c r="A574" i="1"/>
  <c r="B574" i="1"/>
  <c r="C574" i="1"/>
  <c r="D574" i="1"/>
  <c r="E574" i="1"/>
  <c r="F574" i="1"/>
  <c r="G574" i="1"/>
  <c r="H574" i="1"/>
  <c r="I574" i="1"/>
  <c r="J574" i="1"/>
  <c r="A575" i="1"/>
  <c r="B575" i="1"/>
  <c r="C575" i="1"/>
  <c r="D575" i="1"/>
  <c r="E575" i="1"/>
  <c r="F575" i="1"/>
  <c r="G575" i="1"/>
  <c r="H575" i="1"/>
  <c r="I575" i="1"/>
  <c r="J575" i="1"/>
  <c r="A576" i="1"/>
  <c r="B576" i="1"/>
  <c r="C576" i="1"/>
  <c r="D576" i="1"/>
  <c r="E576" i="1"/>
  <c r="F576" i="1"/>
  <c r="G576" i="1"/>
  <c r="H576" i="1"/>
  <c r="I576" i="1"/>
  <c r="J576" i="1"/>
  <c r="A577" i="1"/>
  <c r="B577" i="1"/>
  <c r="C577" i="1"/>
  <c r="D577" i="1"/>
  <c r="E577" i="1"/>
  <c r="F577" i="1"/>
  <c r="G577" i="1"/>
  <c r="H577" i="1"/>
  <c r="I577" i="1"/>
  <c r="J577" i="1"/>
  <c r="A578" i="1"/>
  <c r="B578" i="1"/>
  <c r="C578" i="1"/>
  <c r="D578" i="1"/>
  <c r="E578" i="1"/>
  <c r="F578" i="1"/>
  <c r="G578" i="1"/>
  <c r="H578" i="1"/>
  <c r="I578" i="1"/>
  <c r="J578" i="1"/>
  <c r="A579" i="1"/>
  <c r="B579" i="1"/>
  <c r="C579" i="1"/>
  <c r="D579" i="1"/>
  <c r="E579" i="1"/>
  <c r="F579" i="1"/>
  <c r="G579" i="1"/>
  <c r="H579" i="1"/>
  <c r="I579" i="1"/>
  <c r="J579" i="1"/>
  <c r="A580" i="1"/>
  <c r="B580" i="1"/>
  <c r="C580" i="1"/>
  <c r="D580" i="1"/>
  <c r="E580" i="1"/>
  <c r="F580" i="1"/>
  <c r="G580" i="1"/>
  <c r="H580" i="1"/>
  <c r="I580" i="1"/>
  <c r="J580" i="1"/>
  <c r="A581" i="1"/>
  <c r="B581" i="1"/>
  <c r="C581" i="1"/>
  <c r="D581" i="1"/>
  <c r="E581" i="1"/>
  <c r="F581" i="1"/>
  <c r="G581" i="1"/>
  <c r="H581" i="1"/>
  <c r="I581" i="1"/>
  <c r="J581" i="1"/>
  <c r="A582" i="1"/>
  <c r="B582" i="1"/>
  <c r="C582" i="1"/>
  <c r="D582" i="1"/>
  <c r="E582" i="1"/>
  <c r="F582" i="1"/>
  <c r="G582" i="1"/>
  <c r="H582" i="1"/>
  <c r="I582" i="1"/>
  <c r="J582" i="1"/>
  <c r="A583" i="1"/>
  <c r="B583" i="1"/>
  <c r="C583" i="1"/>
  <c r="D583" i="1"/>
  <c r="E583" i="1"/>
  <c r="F583" i="1"/>
  <c r="G583" i="1"/>
  <c r="H583" i="1"/>
  <c r="I583" i="1"/>
  <c r="J583" i="1"/>
  <c r="A584" i="1"/>
  <c r="B584" i="1"/>
  <c r="C584" i="1"/>
  <c r="D584" i="1"/>
  <c r="E584" i="1"/>
  <c r="F584" i="1"/>
  <c r="G584" i="1"/>
  <c r="H584" i="1"/>
  <c r="I584" i="1"/>
  <c r="J584" i="1"/>
  <c r="A585" i="1"/>
  <c r="B585" i="1"/>
  <c r="C585" i="1"/>
  <c r="D585" i="1"/>
  <c r="E585" i="1"/>
  <c r="F585" i="1"/>
  <c r="G585" i="1"/>
  <c r="H585" i="1"/>
  <c r="I585" i="1"/>
  <c r="J585" i="1"/>
  <c r="A586" i="1"/>
  <c r="B586" i="1"/>
  <c r="C586" i="1"/>
  <c r="D586" i="1"/>
  <c r="E586" i="1"/>
  <c r="F586" i="1"/>
  <c r="G586" i="1"/>
  <c r="H586" i="1"/>
  <c r="I586" i="1"/>
  <c r="J586" i="1"/>
  <c r="A587" i="1"/>
  <c r="B587" i="1"/>
  <c r="C587" i="1"/>
  <c r="D587" i="1"/>
  <c r="E587" i="1"/>
  <c r="F587" i="1"/>
  <c r="G587" i="1"/>
  <c r="H587" i="1"/>
  <c r="I587" i="1"/>
  <c r="J587" i="1"/>
  <c r="A588" i="1"/>
  <c r="B588" i="1"/>
  <c r="C588" i="1"/>
  <c r="D588" i="1"/>
  <c r="E588" i="1"/>
  <c r="F588" i="1"/>
  <c r="G588" i="1"/>
  <c r="H588" i="1"/>
  <c r="I588" i="1"/>
  <c r="J588" i="1"/>
  <c r="A589" i="1"/>
  <c r="B589" i="1"/>
  <c r="C589" i="1"/>
  <c r="D589" i="1"/>
  <c r="E589" i="1"/>
  <c r="F589" i="1"/>
  <c r="G589" i="1"/>
  <c r="H589" i="1"/>
  <c r="I589" i="1"/>
  <c r="J589" i="1"/>
  <c r="A590" i="1"/>
  <c r="B590" i="1"/>
  <c r="C590" i="1"/>
  <c r="D590" i="1"/>
  <c r="E590" i="1"/>
  <c r="F590" i="1"/>
  <c r="G590" i="1"/>
  <c r="H590" i="1"/>
  <c r="I590" i="1"/>
  <c r="J590" i="1"/>
  <c r="A591" i="1"/>
  <c r="B591" i="1"/>
  <c r="C591" i="1"/>
  <c r="D591" i="1"/>
  <c r="E591" i="1"/>
  <c r="F591" i="1"/>
  <c r="G591" i="1"/>
  <c r="H591" i="1"/>
  <c r="I591" i="1"/>
  <c r="J591" i="1"/>
  <c r="A592" i="1"/>
  <c r="B592" i="1"/>
  <c r="C592" i="1"/>
  <c r="D592" i="1"/>
  <c r="E592" i="1"/>
  <c r="F592" i="1"/>
  <c r="G592" i="1"/>
  <c r="H592" i="1"/>
  <c r="I592" i="1"/>
  <c r="J592" i="1"/>
  <c r="A593" i="1"/>
  <c r="B593" i="1"/>
  <c r="C593" i="1"/>
  <c r="D593" i="1"/>
  <c r="E593" i="1"/>
  <c r="F593" i="1"/>
  <c r="G593" i="1"/>
  <c r="H593" i="1"/>
  <c r="I593" i="1"/>
  <c r="J593" i="1"/>
  <c r="A594" i="1"/>
  <c r="B594" i="1"/>
  <c r="C594" i="1"/>
  <c r="D594" i="1"/>
  <c r="E594" i="1"/>
  <c r="F594" i="1"/>
  <c r="G594" i="1"/>
  <c r="H594" i="1"/>
  <c r="I594" i="1"/>
  <c r="J594" i="1"/>
  <c r="A595" i="1"/>
  <c r="B595" i="1"/>
  <c r="C595" i="1"/>
  <c r="D595" i="1"/>
  <c r="E595" i="1"/>
  <c r="F595" i="1"/>
  <c r="G595" i="1"/>
  <c r="H595" i="1"/>
  <c r="I595" i="1"/>
  <c r="J595" i="1"/>
  <c r="A596" i="1"/>
  <c r="B596" i="1"/>
  <c r="C596" i="1"/>
  <c r="D596" i="1"/>
  <c r="E596" i="1"/>
  <c r="F596" i="1"/>
  <c r="G596" i="1"/>
  <c r="H596" i="1"/>
  <c r="I596" i="1"/>
  <c r="J596" i="1"/>
  <c r="A597" i="1"/>
  <c r="B597" i="1"/>
  <c r="C597" i="1"/>
  <c r="D597" i="1"/>
  <c r="E597" i="1"/>
  <c r="F597" i="1"/>
  <c r="G597" i="1"/>
  <c r="H597" i="1"/>
  <c r="I597" i="1"/>
  <c r="J597" i="1"/>
  <c r="A598" i="1"/>
  <c r="B598" i="1"/>
  <c r="C598" i="1"/>
  <c r="D598" i="1"/>
  <c r="E598" i="1"/>
  <c r="F598" i="1"/>
  <c r="G598" i="1"/>
  <c r="H598" i="1"/>
  <c r="I598" i="1"/>
  <c r="J598" i="1"/>
  <c r="A599" i="1"/>
  <c r="B599" i="1"/>
  <c r="C599" i="1"/>
  <c r="D599" i="1"/>
  <c r="E599" i="1"/>
  <c r="F599" i="1"/>
  <c r="G599" i="1"/>
  <c r="H599" i="1"/>
  <c r="I599" i="1"/>
  <c r="J599" i="1"/>
  <c r="A600" i="1"/>
  <c r="B600" i="1"/>
  <c r="C600" i="1"/>
  <c r="D600" i="1"/>
  <c r="E600" i="1"/>
  <c r="F600" i="1"/>
  <c r="G600" i="1"/>
  <c r="H600" i="1"/>
  <c r="I600" i="1"/>
  <c r="J600" i="1"/>
  <c r="A601" i="1"/>
  <c r="B601" i="1"/>
  <c r="C601" i="1"/>
  <c r="D601" i="1"/>
  <c r="E601" i="1"/>
  <c r="F601" i="1"/>
  <c r="G601" i="1"/>
  <c r="H601" i="1"/>
  <c r="I601" i="1"/>
  <c r="J601" i="1"/>
  <c r="A602" i="1"/>
  <c r="B602" i="1"/>
  <c r="C602" i="1"/>
  <c r="D602" i="1"/>
  <c r="E602" i="1"/>
  <c r="F602" i="1"/>
  <c r="G602" i="1"/>
  <c r="H602" i="1"/>
  <c r="I602" i="1"/>
  <c r="J602" i="1"/>
  <c r="A603" i="1"/>
  <c r="B603" i="1"/>
  <c r="C603" i="1"/>
  <c r="D603" i="1"/>
  <c r="E603" i="1"/>
  <c r="F603" i="1"/>
  <c r="G603" i="1"/>
  <c r="H603" i="1"/>
  <c r="I603" i="1"/>
  <c r="J603" i="1"/>
  <c r="A604" i="1"/>
  <c r="B604" i="1"/>
  <c r="C604" i="1"/>
  <c r="D604" i="1"/>
  <c r="E604" i="1"/>
  <c r="F604" i="1"/>
  <c r="G604" i="1"/>
  <c r="H604" i="1"/>
  <c r="I604" i="1"/>
  <c r="J604" i="1"/>
  <c r="A605" i="1"/>
  <c r="B605" i="1"/>
  <c r="C605" i="1"/>
  <c r="D605" i="1"/>
  <c r="E605" i="1"/>
  <c r="F605" i="1"/>
  <c r="G605" i="1"/>
  <c r="H605" i="1"/>
  <c r="I605" i="1"/>
  <c r="J605" i="1"/>
  <c r="A606" i="1"/>
  <c r="B606" i="1"/>
  <c r="C606" i="1"/>
  <c r="D606" i="1"/>
  <c r="E606" i="1"/>
  <c r="F606" i="1"/>
  <c r="G606" i="1"/>
  <c r="H606" i="1"/>
  <c r="I606" i="1"/>
  <c r="J606" i="1"/>
  <c r="A607" i="1"/>
  <c r="B607" i="1"/>
  <c r="C607" i="1"/>
  <c r="D607" i="1"/>
  <c r="E607" i="1"/>
  <c r="F607" i="1"/>
  <c r="G607" i="1"/>
  <c r="H607" i="1"/>
  <c r="I607" i="1"/>
  <c r="J607" i="1"/>
  <c r="A608" i="1"/>
  <c r="B608" i="1"/>
  <c r="C608" i="1"/>
  <c r="D608" i="1"/>
  <c r="E608" i="1"/>
  <c r="F608" i="1"/>
  <c r="G608" i="1"/>
  <c r="H608" i="1"/>
  <c r="I608" i="1"/>
  <c r="J608" i="1"/>
  <c r="A609" i="1"/>
  <c r="B609" i="1"/>
  <c r="C609" i="1"/>
  <c r="D609" i="1"/>
  <c r="E609" i="1"/>
  <c r="F609" i="1"/>
  <c r="G609" i="1"/>
  <c r="H609" i="1"/>
  <c r="I609" i="1"/>
  <c r="J609" i="1"/>
  <c r="A610" i="1"/>
  <c r="B610" i="1"/>
  <c r="C610" i="1"/>
  <c r="D610" i="1"/>
  <c r="E610" i="1"/>
  <c r="F610" i="1"/>
  <c r="G610" i="1"/>
  <c r="H610" i="1"/>
  <c r="I610" i="1"/>
  <c r="J610" i="1"/>
  <c r="A611" i="1"/>
  <c r="B611" i="1"/>
  <c r="C611" i="1"/>
  <c r="D611" i="1"/>
  <c r="E611" i="1"/>
  <c r="F611" i="1"/>
  <c r="G611" i="1"/>
  <c r="H611" i="1"/>
  <c r="I611" i="1"/>
  <c r="J611" i="1"/>
  <c r="A612" i="1"/>
  <c r="B612" i="1"/>
  <c r="C612" i="1"/>
  <c r="D612" i="1"/>
  <c r="E612" i="1"/>
  <c r="F612" i="1"/>
  <c r="G612" i="1"/>
  <c r="H612" i="1"/>
  <c r="I612" i="1"/>
  <c r="J612" i="1"/>
  <c r="A613" i="1"/>
  <c r="B613" i="1"/>
  <c r="C613" i="1"/>
  <c r="D613" i="1"/>
  <c r="E613" i="1"/>
  <c r="F613" i="1"/>
  <c r="G613" i="1"/>
  <c r="H613" i="1"/>
  <c r="I613" i="1"/>
  <c r="J613" i="1"/>
  <c r="A614" i="1"/>
  <c r="B614" i="1"/>
  <c r="C614" i="1"/>
  <c r="D614" i="1"/>
  <c r="E614" i="1"/>
  <c r="F614" i="1"/>
  <c r="G614" i="1"/>
  <c r="H614" i="1"/>
  <c r="I614" i="1"/>
  <c r="J614" i="1"/>
  <c r="A615" i="1"/>
  <c r="B615" i="1"/>
  <c r="C615" i="1"/>
  <c r="D615" i="1"/>
  <c r="E615" i="1"/>
  <c r="F615" i="1"/>
  <c r="G615" i="1"/>
  <c r="H615" i="1"/>
  <c r="I615" i="1"/>
  <c r="J615" i="1"/>
  <c r="A616" i="1"/>
  <c r="B616" i="1"/>
  <c r="C616" i="1"/>
  <c r="D616" i="1"/>
  <c r="E616" i="1"/>
  <c r="F616" i="1"/>
  <c r="G616" i="1"/>
  <c r="H616" i="1"/>
  <c r="I616" i="1"/>
  <c r="J616" i="1"/>
  <c r="A617" i="1"/>
  <c r="B617" i="1"/>
  <c r="C617" i="1"/>
  <c r="D617" i="1"/>
  <c r="E617" i="1"/>
  <c r="F617" i="1"/>
  <c r="G617" i="1"/>
  <c r="H617" i="1"/>
  <c r="I617" i="1"/>
  <c r="J617" i="1"/>
  <c r="A618" i="1"/>
  <c r="B618" i="1"/>
  <c r="C618" i="1"/>
  <c r="D618" i="1"/>
  <c r="E618" i="1"/>
  <c r="F618" i="1"/>
  <c r="G618" i="1"/>
  <c r="H618" i="1"/>
  <c r="I618" i="1"/>
  <c r="J618" i="1"/>
  <c r="A619" i="1"/>
  <c r="B619" i="1"/>
  <c r="C619" i="1"/>
  <c r="D619" i="1"/>
  <c r="E619" i="1"/>
  <c r="F619" i="1"/>
  <c r="G619" i="1"/>
  <c r="H619" i="1"/>
  <c r="I619" i="1"/>
  <c r="J619" i="1"/>
  <c r="A620" i="1"/>
  <c r="B620" i="1"/>
  <c r="C620" i="1"/>
  <c r="D620" i="1"/>
  <c r="E620" i="1"/>
  <c r="F620" i="1"/>
  <c r="G620" i="1"/>
  <c r="H620" i="1"/>
  <c r="I620" i="1"/>
  <c r="J620" i="1"/>
  <c r="A621" i="1"/>
  <c r="B621" i="1"/>
  <c r="C621" i="1"/>
  <c r="D621" i="1"/>
  <c r="E621" i="1"/>
  <c r="F621" i="1"/>
  <c r="G621" i="1"/>
  <c r="H621" i="1"/>
  <c r="I621" i="1"/>
  <c r="J621" i="1"/>
  <c r="A622" i="1"/>
  <c r="B622" i="1"/>
  <c r="C622" i="1"/>
  <c r="D622" i="1"/>
  <c r="E622" i="1"/>
  <c r="F622" i="1"/>
  <c r="G622" i="1"/>
  <c r="H622" i="1"/>
  <c r="I622" i="1"/>
  <c r="J622" i="1"/>
  <c r="A623" i="1"/>
  <c r="B623" i="1"/>
  <c r="C623" i="1"/>
  <c r="D623" i="1"/>
  <c r="E623" i="1"/>
  <c r="F623" i="1"/>
  <c r="G623" i="1"/>
  <c r="H623" i="1"/>
  <c r="I623" i="1"/>
  <c r="J623" i="1"/>
  <c r="A624" i="1"/>
  <c r="B624" i="1"/>
  <c r="C624" i="1"/>
  <c r="D624" i="1"/>
  <c r="E624" i="1"/>
  <c r="F624" i="1"/>
  <c r="G624" i="1"/>
  <c r="H624" i="1"/>
  <c r="I624" i="1"/>
  <c r="J624" i="1"/>
  <c r="A625" i="1"/>
  <c r="B625" i="1"/>
  <c r="C625" i="1"/>
  <c r="D625" i="1"/>
  <c r="E625" i="1"/>
  <c r="F625" i="1"/>
  <c r="G625" i="1"/>
  <c r="H625" i="1"/>
  <c r="I625" i="1"/>
  <c r="J625" i="1"/>
  <c r="A626" i="1"/>
  <c r="B626" i="1"/>
  <c r="C626" i="1"/>
  <c r="D626" i="1"/>
  <c r="E626" i="1"/>
  <c r="F626" i="1"/>
  <c r="G626" i="1"/>
  <c r="H626" i="1"/>
  <c r="I626" i="1"/>
  <c r="J626" i="1"/>
  <c r="A627" i="1"/>
  <c r="B627" i="1"/>
  <c r="C627" i="1"/>
  <c r="D627" i="1"/>
  <c r="E627" i="1"/>
  <c r="F627" i="1"/>
  <c r="G627" i="1"/>
  <c r="H627" i="1"/>
  <c r="I627" i="1"/>
  <c r="J627" i="1"/>
  <c r="A628" i="1"/>
  <c r="B628" i="1"/>
  <c r="C628" i="1"/>
  <c r="D628" i="1"/>
  <c r="E628" i="1"/>
  <c r="F628" i="1"/>
  <c r="G628" i="1"/>
  <c r="H628" i="1"/>
  <c r="I628" i="1"/>
  <c r="J628" i="1"/>
  <c r="A629" i="1"/>
  <c r="B629" i="1"/>
  <c r="C629" i="1"/>
  <c r="D629" i="1"/>
  <c r="E629" i="1"/>
  <c r="F629" i="1"/>
  <c r="G629" i="1"/>
  <c r="H629" i="1"/>
  <c r="I629" i="1"/>
  <c r="J629" i="1"/>
  <c r="A630" i="1"/>
  <c r="B630" i="1"/>
  <c r="C630" i="1"/>
  <c r="D630" i="1"/>
  <c r="E630" i="1"/>
  <c r="F630" i="1"/>
  <c r="G630" i="1"/>
  <c r="H630" i="1"/>
  <c r="I630" i="1"/>
  <c r="J630" i="1"/>
  <c r="A631" i="1"/>
  <c r="B631" i="1"/>
  <c r="C631" i="1"/>
  <c r="D631" i="1"/>
  <c r="E631" i="1"/>
  <c r="F631" i="1"/>
  <c r="G631" i="1"/>
  <c r="H631" i="1"/>
  <c r="I631" i="1"/>
  <c r="J631" i="1"/>
  <c r="A632" i="1"/>
  <c r="B632" i="1"/>
  <c r="C632" i="1"/>
  <c r="D632" i="1"/>
  <c r="E632" i="1"/>
  <c r="F632" i="1"/>
  <c r="G632" i="1"/>
  <c r="H632" i="1"/>
  <c r="I632" i="1"/>
  <c r="J632" i="1"/>
  <c r="A633" i="1"/>
  <c r="B633" i="1"/>
  <c r="C633" i="1"/>
  <c r="D633" i="1"/>
  <c r="E633" i="1"/>
  <c r="F633" i="1"/>
  <c r="G633" i="1"/>
  <c r="H633" i="1"/>
  <c r="I633" i="1"/>
  <c r="J633" i="1"/>
  <c r="A634" i="1"/>
  <c r="B634" i="1"/>
  <c r="C634" i="1"/>
  <c r="D634" i="1"/>
  <c r="E634" i="1"/>
  <c r="F634" i="1"/>
  <c r="G634" i="1"/>
  <c r="H634" i="1"/>
  <c r="I634" i="1"/>
  <c r="J634" i="1"/>
  <c r="A635" i="1"/>
  <c r="B635" i="1"/>
  <c r="C635" i="1"/>
  <c r="D635" i="1"/>
  <c r="E635" i="1"/>
  <c r="F635" i="1"/>
  <c r="G635" i="1"/>
  <c r="H635" i="1"/>
  <c r="I635" i="1"/>
  <c r="J635" i="1"/>
  <c r="A636" i="1"/>
  <c r="B636" i="1"/>
  <c r="C636" i="1"/>
  <c r="D636" i="1"/>
  <c r="E636" i="1"/>
  <c r="F636" i="1"/>
  <c r="G636" i="1"/>
  <c r="H636" i="1"/>
  <c r="I636" i="1"/>
  <c r="J636" i="1"/>
  <c r="A637" i="1"/>
  <c r="B637" i="1"/>
  <c r="C637" i="1"/>
  <c r="D637" i="1"/>
  <c r="E637" i="1"/>
  <c r="F637" i="1"/>
  <c r="G637" i="1"/>
  <c r="H637" i="1"/>
  <c r="I637" i="1"/>
  <c r="J637" i="1"/>
  <c r="A638" i="1"/>
  <c r="B638" i="1"/>
  <c r="C638" i="1"/>
  <c r="D638" i="1"/>
  <c r="E638" i="1"/>
  <c r="F638" i="1"/>
  <c r="G638" i="1"/>
  <c r="H638" i="1"/>
  <c r="I638" i="1"/>
  <c r="J638" i="1"/>
  <c r="A639" i="1"/>
  <c r="B639" i="1"/>
  <c r="C639" i="1"/>
  <c r="D639" i="1"/>
  <c r="E639" i="1"/>
  <c r="F639" i="1"/>
  <c r="G639" i="1"/>
  <c r="H639" i="1"/>
  <c r="I639" i="1"/>
  <c r="J639" i="1"/>
  <c r="A640" i="1"/>
  <c r="B640" i="1"/>
  <c r="C640" i="1"/>
  <c r="D640" i="1"/>
  <c r="E640" i="1"/>
  <c r="F640" i="1"/>
  <c r="G640" i="1"/>
  <c r="H640" i="1"/>
  <c r="I640" i="1"/>
  <c r="J640" i="1"/>
  <c r="A641" i="1"/>
  <c r="B641" i="1"/>
  <c r="C641" i="1"/>
  <c r="D641" i="1"/>
  <c r="E641" i="1"/>
  <c r="F641" i="1"/>
  <c r="G641" i="1"/>
  <c r="H641" i="1"/>
  <c r="I641" i="1"/>
  <c r="J641" i="1"/>
  <c r="A642" i="1"/>
  <c r="B642" i="1"/>
  <c r="C642" i="1"/>
  <c r="D642" i="1"/>
  <c r="E642" i="1"/>
  <c r="F642" i="1"/>
  <c r="G642" i="1"/>
  <c r="H642" i="1"/>
  <c r="I642" i="1"/>
  <c r="J642" i="1"/>
  <c r="A643" i="1"/>
  <c r="B643" i="1"/>
  <c r="C643" i="1"/>
  <c r="D643" i="1"/>
  <c r="E643" i="1"/>
  <c r="F643" i="1"/>
  <c r="G643" i="1"/>
  <c r="H643" i="1"/>
  <c r="I643" i="1"/>
  <c r="J643" i="1"/>
  <c r="A644" i="1"/>
  <c r="B644" i="1"/>
  <c r="C644" i="1"/>
  <c r="D644" i="1"/>
  <c r="E644" i="1"/>
  <c r="F644" i="1"/>
  <c r="G644" i="1"/>
  <c r="H644" i="1"/>
  <c r="I644" i="1"/>
  <c r="J644" i="1"/>
  <c r="A645" i="1"/>
  <c r="B645" i="1"/>
  <c r="C645" i="1"/>
  <c r="D645" i="1"/>
  <c r="E645" i="1"/>
  <c r="F645" i="1"/>
  <c r="G645" i="1"/>
  <c r="H645" i="1"/>
  <c r="I645" i="1"/>
  <c r="J645" i="1"/>
  <c r="A646" i="1"/>
  <c r="B646" i="1"/>
  <c r="C646" i="1"/>
  <c r="D646" i="1"/>
  <c r="E646" i="1"/>
  <c r="F646" i="1"/>
  <c r="G646" i="1"/>
  <c r="H646" i="1"/>
  <c r="I646" i="1"/>
  <c r="J646" i="1"/>
  <c r="A647" i="1"/>
  <c r="B647" i="1"/>
  <c r="C647" i="1"/>
  <c r="D647" i="1"/>
  <c r="E647" i="1"/>
  <c r="F647" i="1"/>
  <c r="G647" i="1"/>
  <c r="H647" i="1"/>
  <c r="I647" i="1"/>
  <c r="J647" i="1"/>
  <c r="A648" i="1"/>
  <c r="B648" i="1"/>
  <c r="C648" i="1"/>
  <c r="D648" i="1"/>
  <c r="E648" i="1"/>
  <c r="F648" i="1"/>
  <c r="G648" i="1"/>
  <c r="H648" i="1"/>
  <c r="I648" i="1"/>
  <c r="J648" i="1"/>
  <c r="A649" i="1"/>
  <c r="B649" i="1"/>
  <c r="C649" i="1"/>
  <c r="D649" i="1"/>
  <c r="E649" i="1"/>
  <c r="F649" i="1"/>
  <c r="G649" i="1"/>
  <c r="H649" i="1"/>
  <c r="I649" i="1"/>
  <c r="J649" i="1"/>
  <c r="A650" i="1"/>
  <c r="B650" i="1"/>
  <c r="C650" i="1"/>
  <c r="D650" i="1"/>
  <c r="E650" i="1"/>
  <c r="F650" i="1"/>
  <c r="G650" i="1"/>
  <c r="H650" i="1"/>
  <c r="I650" i="1"/>
  <c r="J650" i="1"/>
  <c r="A651" i="1"/>
  <c r="B651" i="1"/>
  <c r="C651" i="1"/>
  <c r="D651" i="1"/>
  <c r="E651" i="1"/>
  <c r="F651" i="1"/>
  <c r="G651" i="1"/>
  <c r="H651" i="1"/>
  <c r="I651" i="1"/>
  <c r="J651" i="1"/>
  <c r="A652" i="1"/>
  <c r="B652" i="1"/>
  <c r="C652" i="1"/>
  <c r="D652" i="1"/>
  <c r="E652" i="1"/>
  <c r="F652" i="1"/>
  <c r="G652" i="1"/>
  <c r="H652" i="1"/>
  <c r="I652" i="1"/>
  <c r="J652" i="1"/>
  <c r="A653" i="1"/>
  <c r="B653" i="1"/>
  <c r="C653" i="1"/>
  <c r="D653" i="1"/>
  <c r="E653" i="1"/>
  <c r="F653" i="1"/>
  <c r="G653" i="1"/>
  <c r="H653" i="1"/>
  <c r="I653" i="1"/>
  <c r="J653" i="1"/>
  <c r="A654" i="1"/>
  <c r="B654" i="1"/>
  <c r="C654" i="1"/>
  <c r="D654" i="1"/>
  <c r="E654" i="1"/>
  <c r="F654" i="1"/>
  <c r="G654" i="1"/>
  <c r="H654" i="1"/>
  <c r="I654" i="1"/>
  <c r="J654" i="1"/>
  <c r="A655" i="1"/>
  <c r="B655" i="1"/>
  <c r="C655" i="1"/>
  <c r="D655" i="1"/>
  <c r="E655" i="1"/>
  <c r="F655" i="1"/>
  <c r="G655" i="1"/>
  <c r="H655" i="1"/>
  <c r="I655" i="1"/>
  <c r="J655" i="1"/>
  <c r="A656" i="1"/>
  <c r="B656" i="1"/>
  <c r="C656" i="1"/>
  <c r="D656" i="1"/>
  <c r="E656" i="1"/>
  <c r="F656" i="1"/>
  <c r="G656" i="1"/>
  <c r="H656" i="1"/>
  <c r="I656" i="1"/>
  <c r="J656" i="1"/>
  <c r="A657" i="1"/>
  <c r="B657" i="1"/>
  <c r="C657" i="1"/>
  <c r="D657" i="1"/>
  <c r="E657" i="1"/>
  <c r="F657" i="1"/>
  <c r="G657" i="1"/>
  <c r="H657" i="1"/>
  <c r="I657" i="1"/>
  <c r="J657" i="1"/>
  <c r="A658" i="1"/>
  <c r="B658" i="1"/>
  <c r="C658" i="1"/>
  <c r="D658" i="1"/>
  <c r="E658" i="1"/>
  <c r="F658" i="1"/>
  <c r="G658" i="1"/>
  <c r="H658" i="1"/>
  <c r="I658" i="1"/>
  <c r="J658" i="1"/>
  <c r="A659" i="1"/>
  <c r="B659" i="1"/>
  <c r="C659" i="1"/>
  <c r="D659" i="1"/>
  <c r="E659" i="1"/>
  <c r="F659" i="1"/>
  <c r="G659" i="1"/>
  <c r="H659" i="1"/>
  <c r="I659" i="1"/>
  <c r="J659" i="1"/>
  <c r="A660" i="1"/>
  <c r="B660" i="1"/>
  <c r="C660" i="1"/>
  <c r="D660" i="1"/>
  <c r="E660" i="1"/>
  <c r="F660" i="1"/>
  <c r="G660" i="1"/>
  <c r="H660" i="1"/>
  <c r="I660" i="1"/>
  <c r="J660" i="1"/>
  <c r="A661" i="1"/>
  <c r="B661" i="1"/>
  <c r="C661" i="1"/>
  <c r="D661" i="1"/>
  <c r="E661" i="1"/>
  <c r="F661" i="1"/>
  <c r="G661" i="1"/>
  <c r="H661" i="1"/>
  <c r="I661" i="1"/>
  <c r="J661" i="1"/>
  <c r="A662" i="1"/>
  <c r="B662" i="1"/>
  <c r="C662" i="1"/>
  <c r="D662" i="1"/>
  <c r="E662" i="1"/>
  <c r="F662" i="1"/>
  <c r="G662" i="1"/>
  <c r="H662" i="1"/>
  <c r="I662" i="1"/>
  <c r="J662" i="1"/>
  <c r="A663" i="1"/>
  <c r="B663" i="1"/>
  <c r="C663" i="1"/>
  <c r="D663" i="1"/>
  <c r="E663" i="1"/>
  <c r="F663" i="1"/>
  <c r="G663" i="1"/>
  <c r="H663" i="1"/>
  <c r="I663" i="1"/>
  <c r="J663" i="1"/>
  <c r="A664" i="1"/>
  <c r="B664" i="1"/>
  <c r="C664" i="1"/>
  <c r="D664" i="1"/>
  <c r="E664" i="1"/>
  <c r="F664" i="1"/>
  <c r="G664" i="1"/>
  <c r="H664" i="1"/>
  <c r="I664" i="1"/>
  <c r="J664" i="1"/>
  <c r="A665" i="1"/>
  <c r="B665" i="1"/>
  <c r="C665" i="1"/>
  <c r="D665" i="1"/>
  <c r="E665" i="1"/>
  <c r="F665" i="1"/>
  <c r="G665" i="1"/>
  <c r="H665" i="1"/>
  <c r="I665" i="1"/>
  <c r="J665" i="1"/>
  <c r="A666" i="1"/>
  <c r="B666" i="1"/>
  <c r="C666" i="1"/>
  <c r="D666" i="1"/>
  <c r="E666" i="1"/>
  <c r="F666" i="1"/>
  <c r="G666" i="1"/>
  <c r="H666" i="1"/>
  <c r="I666" i="1"/>
  <c r="J666" i="1"/>
  <c r="A667" i="1"/>
  <c r="B667" i="1"/>
  <c r="C667" i="1"/>
  <c r="D667" i="1"/>
  <c r="E667" i="1"/>
  <c r="F667" i="1"/>
  <c r="G667" i="1"/>
  <c r="H667" i="1"/>
  <c r="I667" i="1"/>
  <c r="J667" i="1"/>
  <c r="A668" i="1"/>
  <c r="B668" i="1"/>
  <c r="C668" i="1"/>
  <c r="D668" i="1"/>
  <c r="E668" i="1"/>
  <c r="F668" i="1"/>
  <c r="G668" i="1"/>
  <c r="H668" i="1"/>
  <c r="I668" i="1"/>
  <c r="J668" i="1"/>
  <c r="A669" i="1"/>
  <c r="B669" i="1"/>
  <c r="C669" i="1"/>
  <c r="D669" i="1"/>
  <c r="E669" i="1"/>
  <c r="F669" i="1"/>
  <c r="G669" i="1"/>
  <c r="H669" i="1"/>
  <c r="I669" i="1"/>
  <c r="J669" i="1"/>
  <c r="A670" i="1"/>
  <c r="B670" i="1"/>
  <c r="C670" i="1"/>
  <c r="D670" i="1"/>
  <c r="E670" i="1"/>
  <c r="F670" i="1"/>
  <c r="G670" i="1"/>
  <c r="H670" i="1"/>
  <c r="I670" i="1"/>
  <c r="J670" i="1"/>
  <c r="A671" i="1"/>
  <c r="B671" i="1"/>
  <c r="C671" i="1"/>
  <c r="D671" i="1"/>
  <c r="E671" i="1"/>
  <c r="F671" i="1"/>
  <c r="G671" i="1"/>
  <c r="H671" i="1"/>
  <c r="I671" i="1"/>
  <c r="J671" i="1"/>
  <c r="A672" i="1"/>
  <c r="B672" i="1"/>
  <c r="C672" i="1"/>
  <c r="D672" i="1"/>
  <c r="E672" i="1"/>
  <c r="F672" i="1"/>
  <c r="G672" i="1"/>
  <c r="H672" i="1"/>
  <c r="I672" i="1"/>
  <c r="J672" i="1"/>
  <c r="A673" i="1"/>
  <c r="B673" i="1"/>
  <c r="C673" i="1"/>
  <c r="D673" i="1"/>
  <c r="E673" i="1"/>
  <c r="F673" i="1"/>
  <c r="G673" i="1"/>
  <c r="H673" i="1"/>
  <c r="I673" i="1"/>
  <c r="J673" i="1"/>
  <c r="A674" i="1"/>
  <c r="B674" i="1"/>
  <c r="C674" i="1"/>
  <c r="D674" i="1"/>
  <c r="E674" i="1"/>
  <c r="F674" i="1"/>
  <c r="G674" i="1"/>
  <c r="H674" i="1"/>
  <c r="I674" i="1"/>
  <c r="J674" i="1"/>
  <c r="A675" i="1"/>
  <c r="B675" i="1"/>
  <c r="C675" i="1"/>
  <c r="D675" i="1"/>
  <c r="E675" i="1"/>
  <c r="F675" i="1"/>
  <c r="G675" i="1"/>
  <c r="H675" i="1"/>
  <c r="I675" i="1"/>
  <c r="J675" i="1"/>
  <c r="A676" i="1"/>
  <c r="B676" i="1"/>
  <c r="C676" i="1"/>
  <c r="D676" i="1"/>
  <c r="E676" i="1"/>
  <c r="F676" i="1"/>
  <c r="G676" i="1"/>
  <c r="H676" i="1"/>
  <c r="I676" i="1"/>
  <c r="J676" i="1"/>
  <c r="A677" i="1"/>
  <c r="B677" i="1"/>
  <c r="C677" i="1"/>
  <c r="D677" i="1"/>
  <c r="E677" i="1"/>
  <c r="F677" i="1"/>
  <c r="G677" i="1"/>
  <c r="H677" i="1"/>
  <c r="I677" i="1"/>
  <c r="J677" i="1"/>
  <c r="A678" i="1"/>
  <c r="B678" i="1"/>
  <c r="C678" i="1"/>
  <c r="D678" i="1"/>
  <c r="E678" i="1"/>
  <c r="F678" i="1"/>
  <c r="G678" i="1"/>
  <c r="H678" i="1"/>
  <c r="I678" i="1"/>
  <c r="J678" i="1"/>
  <c r="A679" i="1"/>
  <c r="B679" i="1"/>
  <c r="C679" i="1"/>
  <c r="D679" i="1"/>
  <c r="E679" i="1"/>
  <c r="F679" i="1"/>
  <c r="G679" i="1"/>
  <c r="H679" i="1"/>
  <c r="I679" i="1"/>
  <c r="J679" i="1"/>
  <c r="A680" i="1"/>
  <c r="B680" i="1"/>
  <c r="C680" i="1"/>
  <c r="D680" i="1"/>
  <c r="E680" i="1"/>
  <c r="F680" i="1"/>
  <c r="G680" i="1"/>
  <c r="H680" i="1"/>
  <c r="I680" i="1"/>
  <c r="J680" i="1"/>
  <c r="A681" i="1"/>
  <c r="B681" i="1"/>
  <c r="C681" i="1"/>
  <c r="D681" i="1"/>
  <c r="E681" i="1"/>
  <c r="F681" i="1"/>
  <c r="G681" i="1"/>
  <c r="H681" i="1"/>
  <c r="I681" i="1"/>
  <c r="J681" i="1"/>
  <c r="A682" i="1"/>
  <c r="B682" i="1"/>
  <c r="C682" i="1"/>
  <c r="D682" i="1"/>
  <c r="E682" i="1"/>
  <c r="F682" i="1"/>
  <c r="G682" i="1"/>
  <c r="H682" i="1"/>
  <c r="I682" i="1"/>
  <c r="J682" i="1"/>
  <c r="A683" i="1"/>
  <c r="B683" i="1"/>
  <c r="C683" i="1"/>
  <c r="D683" i="1"/>
  <c r="E683" i="1"/>
  <c r="F683" i="1"/>
  <c r="G683" i="1"/>
  <c r="H683" i="1"/>
  <c r="I683" i="1"/>
  <c r="J683" i="1"/>
  <c r="A684" i="1"/>
  <c r="B684" i="1"/>
  <c r="C684" i="1"/>
  <c r="D684" i="1"/>
  <c r="E684" i="1"/>
  <c r="F684" i="1"/>
  <c r="G684" i="1"/>
  <c r="H684" i="1"/>
  <c r="I684" i="1"/>
  <c r="J684" i="1"/>
  <c r="A685" i="1"/>
  <c r="B685" i="1"/>
  <c r="C685" i="1"/>
  <c r="D685" i="1"/>
  <c r="E685" i="1"/>
  <c r="F685" i="1"/>
  <c r="G685" i="1"/>
  <c r="H685" i="1"/>
  <c r="I685" i="1"/>
  <c r="J685" i="1"/>
  <c r="A686" i="1"/>
  <c r="B686" i="1"/>
  <c r="C686" i="1"/>
  <c r="D686" i="1"/>
  <c r="E686" i="1"/>
  <c r="F686" i="1"/>
  <c r="G686" i="1"/>
  <c r="H686" i="1"/>
  <c r="I686" i="1"/>
  <c r="J686" i="1"/>
  <c r="A687" i="1"/>
  <c r="B687" i="1"/>
  <c r="C687" i="1"/>
  <c r="D687" i="1"/>
  <c r="E687" i="1"/>
  <c r="F687" i="1"/>
  <c r="G687" i="1"/>
  <c r="H687" i="1"/>
  <c r="I687" i="1"/>
  <c r="J687" i="1"/>
  <c r="A688" i="1"/>
  <c r="B688" i="1"/>
  <c r="C688" i="1"/>
  <c r="D688" i="1"/>
  <c r="E688" i="1"/>
  <c r="F688" i="1"/>
  <c r="G688" i="1"/>
  <c r="H688" i="1"/>
  <c r="I688" i="1"/>
  <c r="J688" i="1"/>
  <c r="A689" i="1"/>
  <c r="B689" i="1"/>
  <c r="C689" i="1"/>
  <c r="D689" i="1"/>
  <c r="E689" i="1"/>
  <c r="F689" i="1"/>
  <c r="G689" i="1"/>
  <c r="H689" i="1"/>
  <c r="I689" i="1"/>
  <c r="J689" i="1"/>
  <c r="A690" i="1"/>
  <c r="B690" i="1"/>
  <c r="C690" i="1"/>
  <c r="D690" i="1"/>
  <c r="E690" i="1"/>
  <c r="F690" i="1"/>
  <c r="G690" i="1"/>
  <c r="H690" i="1"/>
  <c r="I690" i="1"/>
  <c r="J690" i="1"/>
  <c r="A691" i="1"/>
  <c r="B691" i="1"/>
  <c r="C691" i="1"/>
  <c r="D691" i="1"/>
  <c r="E691" i="1"/>
  <c r="F691" i="1"/>
  <c r="G691" i="1"/>
  <c r="H691" i="1"/>
  <c r="I691" i="1"/>
  <c r="J691" i="1"/>
  <c r="A692" i="1"/>
  <c r="B692" i="1"/>
  <c r="C692" i="1"/>
  <c r="D692" i="1"/>
  <c r="E692" i="1"/>
  <c r="F692" i="1"/>
  <c r="G692" i="1"/>
  <c r="H692" i="1"/>
  <c r="I692" i="1"/>
  <c r="J692" i="1"/>
  <c r="A693" i="1"/>
  <c r="B693" i="1"/>
  <c r="C693" i="1"/>
  <c r="D693" i="1"/>
  <c r="E693" i="1"/>
  <c r="F693" i="1"/>
  <c r="G693" i="1"/>
  <c r="H693" i="1"/>
  <c r="I693" i="1"/>
  <c r="J693" i="1"/>
  <c r="A694" i="1"/>
  <c r="B694" i="1"/>
  <c r="C694" i="1"/>
  <c r="D694" i="1"/>
  <c r="E694" i="1"/>
  <c r="F694" i="1"/>
  <c r="G694" i="1"/>
  <c r="H694" i="1"/>
  <c r="I694" i="1"/>
  <c r="J694" i="1"/>
  <c r="A695" i="1"/>
  <c r="B695" i="1"/>
  <c r="C695" i="1"/>
  <c r="D695" i="1"/>
  <c r="E695" i="1"/>
  <c r="F695" i="1"/>
  <c r="G695" i="1"/>
  <c r="H695" i="1"/>
  <c r="I695" i="1"/>
  <c r="J695" i="1"/>
  <c r="A696" i="1"/>
  <c r="B696" i="1"/>
  <c r="C696" i="1"/>
  <c r="D696" i="1"/>
  <c r="E696" i="1"/>
  <c r="F696" i="1"/>
  <c r="G696" i="1"/>
  <c r="H696" i="1"/>
  <c r="I696" i="1"/>
  <c r="J696" i="1"/>
  <c r="A697" i="1"/>
  <c r="B697" i="1"/>
  <c r="C697" i="1"/>
  <c r="D697" i="1"/>
  <c r="E697" i="1"/>
  <c r="F697" i="1"/>
  <c r="G697" i="1"/>
  <c r="H697" i="1"/>
  <c r="I697" i="1"/>
  <c r="J697" i="1"/>
  <c r="A698" i="1"/>
  <c r="B698" i="1"/>
  <c r="C698" i="1"/>
  <c r="D698" i="1"/>
  <c r="E698" i="1"/>
  <c r="F698" i="1"/>
  <c r="G698" i="1"/>
  <c r="H698" i="1"/>
  <c r="I698" i="1"/>
  <c r="J698" i="1"/>
  <c r="A699" i="1"/>
  <c r="B699" i="1"/>
  <c r="C699" i="1"/>
  <c r="D699" i="1"/>
  <c r="E699" i="1"/>
  <c r="F699" i="1"/>
  <c r="G699" i="1"/>
  <c r="H699" i="1"/>
  <c r="I699" i="1"/>
  <c r="J699" i="1"/>
  <c r="A700" i="1"/>
  <c r="B700" i="1"/>
  <c r="C700" i="1"/>
  <c r="D700" i="1"/>
  <c r="E700" i="1"/>
  <c r="F700" i="1"/>
  <c r="G700" i="1"/>
  <c r="H700" i="1"/>
  <c r="I700" i="1"/>
  <c r="J700" i="1"/>
  <c r="A701" i="1"/>
  <c r="B701" i="1"/>
  <c r="C701" i="1"/>
  <c r="D701" i="1"/>
  <c r="E701" i="1"/>
  <c r="F701" i="1"/>
  <c r="G701" i="1"/>
  <c r="H701" i="1"/>
  <c r="I701" i="1"/>
  <c r="J701" i="1"/>
  <c r="A702" i="1"/>
  <c r="B702" i="1"/>
  <c r="C702" i="1"/>
  <c r="D702" i="1"/>
  <c r="E702" i="1"/>
  <c r="F702" i="1"/>
  <c r="G702" i="1"/>
  <c r="H702" i="1"/>
  <c r="I702" i="1"/>
  <c r="J702" i="1"/>
  <c r="A703" i="1"/>
  <c r="B703" i="1"/>
  <c r="C703" i="1"/>
  <c r="D703" i="1"/>
  <c r="E703" i="1"/>
  <c r="F703" i="1"/>
  <c r="G703" i="1"/>
  <c r="H703" i="1"/>
  <c r="I703" i="1"/>
  <c r="J703" i="1"/>
  <c r="A704" i="1"/>
  <c r="B704" i="1"/>
  <c r="C704" i="1"/>
  <c r="D704" i="1"/>
  <c r="E704" i="1"/>
  <c r="F704" i="1"/>
  <c r="G704" i="1"/>
  <c r="H704" i="1"/>
  <c r="I704" i="1"/>
  <c r="J704" i="1"/>
  <c r="A705" i="1"/>
  <c r="B705" i="1"/>
  <c r="C705" i="1"/>
  <c r="D705" i="1"/>
  <c r="E705" i="1"/>
  <c r="F705" i="1"/>
  <c r="G705" i="1"/>
  <c r="H705" i="1"/>
  <c r="I705" i="1"/>
  <c r="J705" i="1"/>
  <c r="A706" i="1"/>
  <c r="B706" i="1"/>
  <c r="C706" i="1"/>
  <c r="D706" i="1"/>
  <c r="E706" i="1"/>
  <c r="F706" i="1"/>
  <c r="G706" i="1"/>
  <c r="H706" i="1"/>
  <c r="I706" i="1"/>
  <c r="J706" i="1"/>
  <c r="A707" i="1"/>
  <c r="B707" i="1"/>
  <c r="C707" i="1"/>
  <c r="D707" i="1"/>
  <c r="E707" i="1"/>
  <c r="F707" i="1"/>
  <c r="G707" i="1"/>
  <c r="H707" i="1"/>
  <c r="I707" i="1"/>
  <c r="J707" i="1"/>
  <c r="A708" i="1"/>
  <c r="B708" i="1"/>
  <c r="C708" i="1"/>
  <c r="D708" i="1"/>
  <c r="E708" i="1"/>
  <c r="F708" i="1"/>
  <c r="G708" i="1"/>
  <c r="H708" i="1"/>
  <c r="I708" i="1"/>
  <c r="J708" i="1"/>
  <c r="A709" i="1"/>
  <c r="B709" i="1"/>
  <c r="C709" i="1"/>
  <c r="D709" i="1"/>
  <c r="E709" i="1"/>
  <c r="F709" i="1"/>
  <c r="G709" i="1"/>
  <c r="H709" i="1"/>
  <c r="I709" i="1"/>
  <c r="J709" i="1"/>
  <c r="A710" i="1"/>
  <c r="B710" i="1"/>
  <c r="C710" i="1"/>
  <c r="D710" i="1"/>
  <c r="E710" i="1"/>
  <c r="F710" i="1"/>
  <c r="G710" i="1"/>
  <c r="H710" i="1"/>
  <c r="I710" i="1"/>
  <c r="J710" i="1"/>
  <c r="A711" i="1"/>
  <c r="B711" i="1"/>
  <c r="C711" i="1"/>
  <c r="D711" i="1"/>
  <c r="E711" i="1"/>
  <c r="F711" i="1"/>
  <c r="G711" i="1"/>
  <c r="H711" i="1"/>
  <c r="I711" i="1"/>
  <c r="J711" i="1"/>
  <c r="A712" i="1"/>
  <c r="B712" i="1"/>
  <c r="C712" i="1"/>
  <c r="D712" i="1"/>
  <c r="E712" i="1"/>
  <c r="F712" i="1"/>
  <c r="G712" i="1"/>
  <c r="H712" i="1"/>
  <c r="I712" i="1"/>
  <c r="J712" i="1"/>
  <c r="A713" i="1"/>
  <c r="B713" i="1"/>
  <c r="C713" i="1"/>
  <c r="D713" i="1"/>
  <c r="E713" i="1"/>
  <c r="F713" i="1"/>
  <c r="G713" i="1"/>
  <c r="H713" i="1"/>
  <c r="I713" i="1"/>
  <c r="J713" i="1"/>
  <c r="A714" i="1"/>
  <c r="B714" i="1"/>
  <c r="C714" i="1"/>
  <c r="D714" i="1"/>
  <c r="E714" i="1"/>
  <c r="F714" i="1"/>
  <c r="G714" i="1"/>
  <c r="H714" i="1"/>
  <c r="I714" i="1"/>
  <c r="J714" i="1"/>
  <c r="A715" i="1"/>
  <c r="B715" i="1"/>
  <c r="C715" i="1"/>
  <c r="D715" i="1"/>
  <c r="E715" i="1"/>
  <c r="F715" i="1"/>
  <c r="G715" i="1"/>
  <c r="H715" i="1"/>
  <c r="I715" i="1"/>
  <c r="J715" i="1"/>
  <c r="A716" i="1"/>
  <c r="B716" i="1"/>
  <c r="C716" i="1"/>
  <c r="D716" i="1"/>
  <c r="E716" i="1"/>
  <c r="F716" i="1"/>
  <c r="G716" i="1"/>
  <c r="H716" i="1"/>
  <c r="I716" i="1"/>
  <c r="J716" i="1"/>
  <c r="A717" i="1"/>
  <c r="B717" i="1"/>
  <c r="C717" i="1"/>
  <c r="D717" i="1"/>
  <c r="E717" i="1"/>
  <c r="F717" i="1"/>
  <c r="G717" i="1"/>
  <c r="H717" i="1"/>
  <c r="I717" i="1"/>
  <c r="J717" i="1"/>
  <c r="A718" i="1"/>
  <c r="B718" i="1"/>
  <c r="C718" i="1"/>
  <c r="D718" i="1"/>
  <c r="E718" i="1"/>
  <c r="F718" i="1"/>
  <c r="G718" i="1"/>
  <c r="H718" i="1"/>
  <c r="I718" i="1"/>
  <c r="J718" i="1"/>
  <c r="A719" i="1"/>
  <c r="B719" i="1"/>
  <c r="C719" i="1"/>
  <c r="D719" i="1"/>
  <c r="E719" i="1"/>
  <c r="F719" i="1"/>
  <c r="G719" i="1"/>
  <c r="H719" i="1"/>
  <c r="I719" i="1"/>
  <c r="J719" i="1"/>
  <c r="A720" i="1"/>
  <c r="B720" i="1"/>
  <c r="C720" i="1"/>
  <c r="D720" i="1"/>
  <c r="E720" i="1"/>
  <c r="F720" i="1"/>
  <c r="G720" i="1"/>
  <c r="H720" i="1"/>
  <c r="I720" i="1"/>
  <c r="J720" i="1"/>
  <c r="A721" i="1"/>
  <c r="B721" i="1"/>
  <c r="C721" i="1"/>
  <c r="D721" i="1"/>
  <c r="E721" i="1"/>
  <c r="F721" i="1"/>
  <c r="G721" i="1"/>
  <c r="H721" i="1"/>
  <c r="I721" i="1"/>
  <c r="J721" i="1"/>
  <c r="A722" i="1"/>
  <c r="B722" i="1"/>
  <c r="C722" i="1"/>
  <c r="D722" i="1"/>
  <c r="E722" i="1"/>
  <c r="F722" i="1"/>
  <c r="G722" i="1"/>
  <c r="H722" i="1"/>
  <c r="I722" i="1"/>
  <c r="J722" i="1"/>
  <c r="A723" i="1"/>
  <c r="B723" i="1"/>
  <c r="C723" i="1"/>
  <c r="D723" i="1"/>
  <c r="E723" i="1"/>
  <c r="F723" i="1"/>
  <c r="G723" i="1"/>
  <c r="H723" i="1"/>
  <c r="I723" i="1"/>
  <c r="J723" i="1"/>
  <c r="A724" i="1"/>
  <c r="B724" i="1"/>
  <c r="C724" i="1"/>
  <c r="D724" i="1"/>
  <c r="E724" i="1"/>
  <c r="F724" i="1"/>
  <c r="G724" i="1"/>
  <c r="H724" i="1"/>
  <c r="I724" i="1"/>
  <c r="J724" i="1"/>
  <c r="A725" i="1"/>
  <c r="B725" i="1"/>
  <c r="C725" i="1"/>
  <c r="D725" i="1"/>
  <c r="E725" i="1"/>
  <c r="F725" i="1"/>
  <c r="G725" i="1"/>
  <c r="H725" i="1"/>
  <c r="I725" i="1"/>
  <c r="J725" i="1"/>
  <c r="A726" i="1"/>
  <c r="B726" i="1"/>
  <c r="C726" i="1"/>
  <c r="D726" i="1"/>
  <c r="E726" i="1"/>
  <c r="F726" i="1"/>
  <c r="G726" i="1"/>
  <c r="H726" i="1"/>
  <c r="I726" i="1"/>
  <c r="J726" i="1"/>
  <c r="A727" i="1"/>
  <c r="B727" i="1"/>
  <c r="C727" i="1"/>
  <c r="D727" i="1"/>
  <c r="E727" i="1"/>
  <c r="F727" i="1"/>
  <c r="G727" i="1"/>
  <c r="H727" i="1"/>
  <c r="I727" i="1"/>
  <c r="J727" i="1"/>
  <c r="A728" i="1"/>
  <c r="B728" i="1"/>
  <c r="C728" i="1"/>
  <c r="D728" i="1"/>
  <c r="E728" i="1"/>
  <c r="F728" i="1"/>
  <c r="G728" i="1"/>
  <c r="H728" i="1"/>
  <c r="I728" i="1"/>
  <c r="J728" i="1"/>
  <c r="A729" i="1"/>
  <c r="B729" i="1"/>
  <c r="C729" i="1"/>
  <c r="D729" i="1"/>
  <c r="E729" i="1"/>
  <c r="F729" i="1"/>
  <c r="G729" i="1"/>
  <c r="H729" i="1"/>
  <c r="I729" i="1"/>
  <c r="J729" i="1"/>
  <c r="A730" i="1"/>
  <c r="B730" i="1"/>
  <c r="C730" i="1"/>
  <c r="D730" i="1"/>
  <c r="E730" i="1"/>
  <c r="F730" i="1"/>
  <c r="G730" i="1"/>
  <c r="H730" i="1"/>
  <c r="I730" i="1"/>
  <c r="J730" i="1"/>
  <c r="A731" i="1"/>
  <c r="B731" i="1"/>
  <c r="C731" i="1"/>
  <c r="D731" i="1"/>
  <c r="E731" i="1"/>
  <c r="F731" i="1"/>
  <c r="G731" i="1"/>
  <c r="H731" i="1"/>
  <c r="I731" i="1"/>
  <c r="J731" i="1"/>
  <c r="A732" i="1"/>
  <c r="B732" i="1"/>
  <c r="C732" i="1"/>
  <c r="D732" i="1"/>
  <c r="E732" i="1"/>
  <c r="F732" i="1"/>
  <c r="G732" i="1"/>
  <c r="H732" i="1"/>
  <c r="I732" i="1"/>
  <c r="J732" i="1"/>
  <c r="A733" i="1"/>
  <c r="B733" i="1"/>
  <c r="C733" i="1"/>
  <c r="D733" i="1"/>
  <c r="E733" i="1"/>
  <c r="F733" i="1"/>
  <c r="G733" i="1"/>
  <c r="H733" i="1"/>
  <c r="I733" i="1"/>
  <c r="J733" i="1"/>
  <c r="A734" i="1"/>
  <c r="B734" i="1"/>
  <c r="C734" i="1"/>
  <c r="D734" i="1"/>
  <c r="E734" i="1"/>
  <c r="F734" i="1"/>
  <c r="G734" i="1"/>
  <c r="H734" i="1"/>
  <c r="I734" i="1"/>
  <c r="J734" i="1"/>
  <c r="A735" i="1"/>
  <c r="B735" i="1"/>
  <c r="C735" i="1"/>
  <c r="D735" i="1"/>
  <c r="E735" i="1"/>
  <c r="F735" i="1"/>
  <c r="G735" i="1"/>
  <c r="H735" i="1"/>
  <c r="I735" i="1"/>
  <c r="J735" i="1"/>
  <c r="A736" i="1"/>
  <c r="B736" i="1"/>
  <c r="C736" i="1"/>
  <c r="D736" i="1"/>
  <c r="E736" i="1"/>
  <c r="F736" i="1"/>
  <c r="G736" i="1"/>
  <c r="H736" i="1"/>
  <c r="I736" i="1"/>
  <c r="J736" i="1"/>
  <c r="A737" i="1"/>
  <c r="B737" i="1"/>
  <c r="C737" i="1"/>
  <c r="D737" i="1"/>
  <c r="E737" i="1"/>
  <c r="F737" i="1"/>
  <c r="G737" i="1"/>
  <c r="H737" i="1"/>
  <c r="I737" i="1"/>
  <c r="J737" i="1"/>
  <c r="A738" i="1"/>
  <c r="B738" i="1"/>
  <c r="C738" i="1"/>
  <c r="D738" i="1"/>
  <c r="E738" i="1"/>
  <c r="F738" i="1"/>
  <c r="G738" i="1"/>
  <c r="H738" i="1"/>
  <c r="I738" i="1"/>
  <c r="J738" i="1"/>
  <c r="A739" i="1"/>
  <c r="B739" i="1"/>
  <c r="C739" i="1"/>
  <c r="D739" i="1"/>
  <c r="E739" i="1"/>
  <c r="F739" i="1"/>
  <c r="G739" i="1"/>
  <c r="H739" i="1"/>
  <c r="I739" i="1"/>
  <c r="J739" i="1"/>
  <c r="A740" i="1"/>
  <c r="B740" i="1"/>
  <c r="C740" i="1"/>
  <c r="D740" i="1"/>
  <c r="E740" i="1"/>
  <c r="F740" i="1"/>
  <c r="G740" i="1"/>
  <c r="H740" i="1"/>
  <c r="I740" i="1"/>
  <c r="J740" i="1"/>
  <c r="A741" i="1"/>
  <c r="B741" i="1"/>
  <c r="C741" i="1"/>
  <c r="D741" i="1"/>
  <c r="E741" i="1"/>
  <c r="F741" i="1"/>
  <c r="G741" i="1"/>
  <c r="H741" i="1"/>
  <c r="I741" i="1"/>
  <c r="J741" i="1"/>
  <c r="A742" i="1"/>
  <c r="B742" i="1"/>
  <c r="C742" i="1"/>
  <c r="D742" i="1"/>
  <c r="E742" i="1"/>
  <c r="F742" i="1"/>
  <c r="G742" i="1"/>
  <c r="H742" i="1"/>
  <c r="I742" i="1"/>
  <c r="J742" i="1"/>
  <c r="A743" i="1"/>
  <c r="B743" i="1"/>
  <c r="C743" i="1"/>
  <c r="D743" i="1"/>
  <c r="E743" i="1"/>
  <c r="F743" i="1"/>
  <c r="G743" i="1"/>
  <c r="H743" i="1"/>
  <c r="I743" i="1"/>
  <c r="J743" i="1"/>
  <c r="A744" i="1"/>
  <c r="B744" i="1"/>
  <c r="C744" i="1"/>
  <c r="D744" i="1"/>
  <c r="E744" i="1"/>
  <c r="F744" i="1"/>
  <c r="G744" i="1"/>
  <c r="H744" i="1"/>
  <c r="I744" i="1"/>
  <c r="J744" i="1"/>
  <c r="A745" i="1"/>
  <c r="B745" i="1"/>
  <c r="C745" i="1"/>
  <c r="D745" i="1"/>
  <c r="E745" i="1"/>
  <c r="F745" i="1"/>
  <c r="G745" i="1"/>
  <c r="H745" i="1"/>
  <c r="I745" i="1"/>
  <c r="J745" i="1"/>
  <c r="A746" i="1"/>
  <c r="B746" i="1"/>
  <c r="C746" i="1"/>
  <c r="D746" i="1"/>
  <c r="E746" i="1"/>
  <c r="F746" i="1"/>
  <c r="G746" i="1"/>
  <c r="H746" i="1"/>
  <c r="I746" i="1"/>
  <c r="J746" i="1"/>
  <c r="A747" i="1"/>
  <c r="B747" i="1"/>
  <c r="C747" i="1"/>
  <c r="D747" i="1"/>
  <c r="E747" i="1"/>
  <c r="F747" i="1"/>
  <c r="G747" i="1"/>
  <c r="H747" i="1"/>
  <c r="I747" i="1"/>
  <c r="J747" i="1"/>
  <c r="A748" i="1"/>
  <c r="B748" i="1"/>
  <c r="C748" i="1"/>
  <c r="D748" i="1"/>
  <c r="E748" i="1"/>
  <c r="F748" i="1"/>
  <c r="G748" i="1"/>
  <c r="H748" i="1"/>
  <c r="I748" i="1"/>
  <c r="J748" i="1"/>
  <c r="A749" i="1"/>
  <c r="B749" i="1"/>
  <c r="C749" i="1"/>
  <c r="D749" i="1"/>
  <c r="E749" i="1"/>
  <c r="F749" i="1"/>
  <c r="G749" i="1"/>
  <c r="H749" i="1"/>
  <c r="I749" i="1"/>
  <c r="J749" i="1"/>
  <c r="A750" i="1"/>
  <c r="B750" i="1"/>
  <c r="C750" i="1"/>
  <c r="D750" i="1"/>
  <c r="E750" i="1"/>
  <c r="F750" i="1"/>
  <c r="G750" i="1"/>
  <c r="H750" i="1"/>
  <c r="I750" i="1"/>
  <c r="J750" i="1"/>
  <c r="A751" i="1"/>
  <c r="B751" i="1"/>
  <c r="C751" i="1"/>
  <c r="D751" i="1"/>
  <c r="E751" i="1"/>
  <c r="F751" i="1"/>
  <c r="G751" i="1"/>
  <c r="H751" i="1"/>
  <c r="I751" i="1"/>
  <c r="J751" i="1"/>
  <c r="A752" i="1"/>
  <c r="B752" i="1"/>
  <c r="C752" i="1"/>
  <c r="D752" i="1"/>
  <c r="E752" i="1"/>
  <c r="F752" i="1"/>
  <c r="G752" i="1"/>
  <c r="H752" i="1"/>
  <c r="I752" i="1"/>
  <c r="J752" i="1"/>
  <c r="A753" i="1"/>
  <c r="B753" i="1"/>
  <c r="C753" i="1"/>
  <c r="D753" i="1"/>
  <c r="E753" i="1"/>
  <c r="F753" i="1"/>
  <c r="G753" i="1"/>
  <c r="H753" i="1"/>
  <c r="I753" i="1"/>
  <c r="J753" i="1"/>
  <c r="A754" i="1"/>
  <c r="B754" i="1"/>
  <c r="C754" i="1"/>
  <c r="D754" i="1"/>
  <c r="E754" i="1"/>
  <c r="F754" i="1"/>
  <c r="G754" i="1"/>
  <c r="H754" i="1"/>
  <c r="I754" i="1"/>
  <c r="J754" i="1"/>
  <c r="A755" i="1"/>
  <c r="B755" i="1"/>
  <c r="C755" i="1"/>
  <c r="D755" i="1"/>
  <c r="E755" i="1"/>
  <c r="F755" i="1"/>
  <c r="G755" i="1"/>
  <c r="H755" i="1"/>
  <c r="I755" i="1"/>
  <c r="J755" i="1"/>
  <c r="A756" i="1"/>
  <c r="B756" i="1"/>
  <c r="C756" i="1"/>
  <c r="D756" i="1"/>
  <c r="E756" i="1"/>
  <c r="F756" i="1"/>
  <c r="G756" i="1"/>
  <c r="H756" i="1"/>
  <c r="I756" i="1"/>
  <c r="J756" i="1"/>
  <c r="A757" i="1"/>
  <c r="B757" i="1"/>
  <c r="C757" i="1"/>
  <c r="D757" i="1"/>
  <c r="E757" i="1"/>
  <c r="F757" i="1"/>
  <c r="G757" i="1"/>
  <c r="H757" i="1"/>
  <c r="I757" i="1"/>
  <c r="J757" i="1"/>
  <c r="A758" i="1"/>
  <c r="B758" i="1"/>
  <c r="C758" i="1"/>
  <c r="D758" i="1"/>
  <c r="E758" i="1"/>
  <c r="F758" i="1"/>
  <c r="G758" i="1"/>
  <c r="H758" i="1"/>
  <c r="I758" i="1"/>
  <c r="J758" i="1"/>
  <c r="A759" i="1"/>
  <c r="B759" i="1"/>
  <c r="C759" i="1"/>
  <c r="D759" i="1"/>
  <c r="E759" i="1"/>
  <c r="F759" i="1"/>
  <c r="G759" i="1"/>
  <c r="H759" i="1"/>
  <c r="I759" i="1"/>
  <c r="J759" i="1"/>
  <c r="A760" i="1"/>
  <c r="B760" i="1"/>
  <c r="C760" i="1"/>
  <c r="D760" i="1"/>
  <c r="E760" i="1"/>
  <c r="F760" i="1"/>
  <c r="G760" i="1"/>
  <c r="H760" i="1"/>
  <c r="I760" i="1"/>
  <c r="J760" i="1"/>
  <c r="A761" i="1"/>
  <c r="B761" i="1"/>
  <c r="C761" i="1"/>
  <c r="D761" i="1"/>
  <c r="E761" i="1"/>
  <c r="F761" i="1"/>
  <c r="G761" i="1"/>
  <c r="H761" i="1"/>
  <c r="I761" i="1"/>
  <c r="J761" i="1"/>
  <c r="A762" i="1"/>
  <c r="B762" i="1"/>
  <c r="C762" i="1"/>
  <c r="D762" i="1"/>
  <c r="E762" i="1"/>
  <c r="F762" i="1"/>
  <c r="G762" i="1"/>
  <c r="H762" i="1"/>
  <c r="I762" i="1"/>
  <c r="J762" i="1"/>
  <c r="A763" i="1"/>
  <c r="B763" i="1"/>
  <c r="C763" i="1"/>
  <c r="D763" i="1"/>
  <c r="E763" i="1"/>
  <c r="F763" i="1"/>
  <c r="G763" i="1"/>
  <c r="H763" i="1"/>
  <c r="I763" i="1"/>
  <c r="J763" i="1"/>
  <c r="A764" i="1"/>
  <c r="B764" i="1"/>
  <c r="C764" i="1"/>
  <c r="D764" i="1"/>
  <c r="E764" i="1"/>
  <c r="F764" i="1"/>
  <c r="G764" i="1"/>
  <c r="H764" i="1"/>
  <c r="I764" i="1"/>
  <c r="J764" i="1"/>
  <c r="A765" i="1"/>
  <c r="B765" i="1"/>
  <c r="C765" i="1"/>
  <c r="D765" i="1"/>
  <c r="E765" i="1"/>
  <c r="F765" i="1"/>
  <c r="G765" i="1"/>
  <c r="H765" i="1"/>
  <c r="I765" i="1"/>
  <c r="J765" i="1"/>
  <c r="A766" i="1"/>
  <c r="B766" i="1"/>
  <c r="C766" i="1"/>
  <c r="D766" i="1"/>
  <c r="E766" i="1"/>
  <c r="F766" i="1"/>
  <c r="G766" i="1"/>
  <c r="H766" i="1"/>
  <c r="I766" i="1"/>
  <c r="J766" i="1"/>
  <c r="A767" i="1"/>
  <c r="B767" i="1"/>
  <c r="C767" i="1"/>
  <c r="D767" i="1"/>
  <c r="E767" i="1"/>
  <c r="F767" i="1"/>
  <c r="G767" i="1"/>
  <c r="H767" i="1"/>
  <c r="I767" i="1"/>
  <c r="J767" i="1"/>
  <c r="A768" i="1"/>
  <c r="B768" i="1"/>
  <c r="C768" i="1"/>
  <c r="D768" i="1"/>
  <c r="E768" i="1"/>
  <c r="F768" i="1"/>
  <c r="G768" i="1"/>
  <c r="H768" i="1"/>
  <c r="I768" i="1"/>
  <c r="J768" i="1"/>
  <c r="A769" i="1"/>
  <c r="B769" i="1"/>
  <c r="C769" i="1"/>
  <c r="D769" i="1"/>
  <c r="E769" i="1"/>
  <c r="F769" i="1"/>
  <c r="G769" i="1"/>
  <c r="H769" i="1"/>
  <c r="I769" i="1"/>
  <c r="J769" i="1"/>
  <c r="A770" i="1"/>
  <c r="B770" i="1"/>
  <c r="C770" i="1"/>
  <c r="D770" i="1"/>
  <c r="E770" i="1"/>
  <c r="F770" i="1"/>
  <c r="G770" i="1"/>
  <c r="H770" i="1"/>
  <c r="I770" i="1"/>
  <c r="J770" i="1"/>
  <c r="A771" i="1"/>
  <c r="B771" i="1"/>
  <c r="C771" i="1"/>
  <c r="D771" i="1"/>
  <c r="E771" i="1"/>
  <c r="F771" i="1"/>
  <c r="G771" i="1"/>
  <c r="H771" i="1"/>
  <c r="I771" i="1"/>
  <c r="J771" i="1"/>
  <c r="A772" i="1"/>
  <c r="B772" i="1"/>
  <c r="C772" i="1"/>
  <c r="D772" i="1"/>
  <c r="E772" i="1"/>
  <c r="F772" i="1"/>
  <c r="G772" i="1"/>
  <c r="H772" i="1"/>
  <c r="I772" i="1"/>
  <c r="J772" i="1"/>
  <c r="A773" i="1"/>
  <c r="B773" i="1"/>
  <c r="C773" i="1"/>
  <c r="D773" i="1"/>
  <c r="E773" i="1"/>
  <c r="F773" i="1"/>
  <c r="G773" i="1"/>
  <c r="H773" i="1"/>
  <c r="I773" i="1"/>
  <c r="J773" i="1"/>
  <c r="A774" i="1"/>
  <c r="B774" i="1"/>
  <c r="C774" i="1"/>
  <c r="D774" i="1"/>
  <c r="E774" i="1"/>
  <c r="F774" i="1"/>
  <c r="G774" i="1"/>
  <c r="H774" i="1"/>
  <c r="I774" i="1"/>
  <c r="J774" i="1"/>
  <c r="A775" i="1"/>
  <c r="B775" i="1"/>
  <c r="C775" i="1"/>
  <c r="D775" i="1"/>
  <c r="E775" i="1"/>
  <c r="F775" i="1"/>
  <c r="G775" i="1"/>
  <c r="H775" i="1"/>
  <c r="I775" i="1"/>
  <c r="J775" i="1"/>
  <c r="A776" i="1"/>
  <c r="B776" i="1"/>
  <c r="C776" i="1"/>
  <c r="D776" i="1"/>
  <c r="E776" i="1"/>
  <c r="F776" i="1"/>
  <c r="G776" i="1"/>
  <c r="H776" i="1"/>
  <c r="I776" i="1"/>
  <c r="J776" i="1"/>
  <c r="A777" i="1"/>
  <c r="B777" i="1"/>
  <c r="C777" i="1"/>
  <c r="D777" i="1"/>
  <c r="E777" i="1"/>
  <c r="F777" i="1"/>
  <c r="G777" i="1"/>
  <c r="H777" i="1"/>
  <c r="I777" i="1"/>
  <c r="J777" i="1"/>
  <c r="A778" i="1"/>
  <c r="B778" i="1"/>
  <c r="C778" i="1"/>
  <c r="D778" i="1"/>
  <c r="E778" i="1"/>
  <c r="F778" i="1"/>
  <c r="G778" i="1"/>
  <c r="H778" i="1"/>
  <c r="I778" i="1"/>
  <c r="J778" i="1"/>
  <c r="A779" i="1"/>
  <c r="B779" i="1"/>
  <c r="C779" i="1"/>
  <c r="D779" i="1"/>
  <c r="E779" i="1"/>
  <c r="F779" i="1"/>
  <c r="G779" i="1"/>
  <c r="H779" i="1"/>
  <c r="I779" i="1"/>
  <c r="J779" i="1"/>
  <c r="A780" i="1"/>
  <c r="B780" i="1"/>
  <c r="C780" i="1"/>
  <c r="D780" i="1"/>
  <c r="E780" i="1"/>
  <c r="F780" i="1"/>
  <c r="G780" i="1"/>
  <c r="H780" i="1"/>
  <c r="I780" i="1"/>
  <c r="J780" i="1"/>
  <c r="A781" i="1"/>
  <c r="B781" i="1"/>
  <c r="C781" i="1"/>
  <c r="D781" i="1"/>
  <c r="E781" i="1"/>
  <c r="F781" i="1"/>
  <c r="G781" i="1"/>
  <c r="H781" i="1"/>
  <c r="I781" i="1"/>
  <c r="J781" i="1"/>
  <c r="A782" i="1"/>
  <c r="B782" i="1"/>
  <c r="C782" i="1"/>
  <c r="D782" i="1"/>
  <c r="E782" i="1"/>
  <c r="F782" i="1"/>
  <c r="G782" i="1"/>
  <c r="H782" i="1"/>
  <c r="I782" i="1"/>
  <c r="J782" i="1"/>
  <c r="A783" i="1"/>
  <c r="B783" i="1"/>
  <c r="C783" i="1"/>
  <c r="D783" i="1"/>
  <c r="E783" i="1"/>
  <c r="F783" i="1"/>
  <c r="G783" i="1"/>
  <c r="H783" i="1"/>
  <c r="I783" i="1"/>
  <c r="J783" i="1"/>
  <c r="A784" i="1"/>
  <c r="B784" i="1"/>
  <c r="C784" i="1"/>
  <c r="D784" i="1"/>
  <c r="E784" i="1"/>
  <c r="F784" i="1"/>
  <c r="G784" i="1"/>
  <c r="H784" i="1"/>
  <c r="I784" i="1"/>
  <c r="J784" i="1"/>
  <c r="A785" i="1"/>
  <c r="B785" i="1"/>
  <c r="C785" i="1"/>
  <c r="D785" i="1"/>
  <c r="E785" i="1"/>
  <c r="F785" i="1"/>
  <c r="G785" i="1"/>
  <c r="H785" i="1"/>
  <c r="I785" i="1"/>
  <c r="J785" i="1"/>
  <c r="A786" i="1"/>
  <c r="B786" i="1"/>
  <c r="C786" i="1"/>
  <c r="D786" i="1"/>
  <c r="E786" i="1"/>
  <c r="F786" i="1"/>
  <c r="G786" i="1"/>
  <c r="H786" i="1"/>
  <c r="I786" i="1"/>
  <c r="J786" i="1"/>
  <c r="A787" i="1"/>
  <c r="B787" i="1"/>
  <c r="C787" i="1"/>
  <c r="D787" i="1"/>
  <c r="E787" i="1"/>
  <c r="F787" i="1"/>
  <c r="G787" i="1"/>
  <c r="H787" i="1"/>
  <c r="I787" i="1"/>
  <c r="J787" i="1"/>
  <c r="A788" i="1"/>
  <c r="B788" i="1"/>
  <c r="C788" i="1"/>
  <c r="D788" i="1"/>
  <c r="E788" i="1"/>
  <c r="F788" i="1"/>
  <c r="G788" i="1"/>
  <c r="H788" i="1"/>
  <c r="I788" i="1"/>
  <c r="J788" i="1"/>
  <c r="A789" i="1"/>
  <c r="B789" i="1"/>
  <c r="C789" i="1"/>
  <c r="D789" i="1"/>
  <c r="E789" i="1"/>
  <c r="F789" i="1"/>
  <c r="G789" i="1"/>
  <c r="H789" i="1"/>
  <c r="I789" i="1"/>
  <c r="J789" i="1"/>
  <c r="A790" i="1"/>
  <c r="B790" i="1"/>
  <c r="C790" i="1"/>
  <c r="D790" i="1"/>
  <c r="E790" i="1"/>
  <c r="F790" i="1"/>
  <c r="G790" i="1"/>
  <c r="H790" i="1"/>
  <c r="I790" i="1"/>
  <c r="J790" i="1"/>
  <c r="A791" i="1"/>
  <c r="B791" i="1"/>
  <c r="C791" i="1"/>
  <c r="D791" i="1"/>
  <c r="E791" i="1"/>
  <c r="F791" i="1"/>
  <c r="G791" i="1"/>
  <c r="H791" i="1"/>
  <c r="I791" i="1"/>
  <c r="J791" i="1"/>
  <c r="A792" i="1"/>
  <c r="B792" i="1"/>
  <c r="C792" i="1"/>
  <c r="D792" i="1"/>
  <c r="E792" i="1"/>
  <c r="F792" i="1"/>
  <c r="G792" i="1"/>
  <c r="H792" i="1"/>
  <c r="I792" i="1"/>
  <c r="J792" i="1"/>
  <c r="A793" i="1"/>
  <c r="B793" i="1"/>
  <c r="C793" i="1"/>
  <c r="D793" i="1"/>
  <c r="E793" i="1"/>
  <c r="F793" i="1"/>
  <c r="G793" i="1"/>
  <c r="H793" i="1"/>
  <c r="I793" i="1"/>
  <c r="J793" i="1"/>
  <c r="A794" i="1"/>
  <c r="B794" i="1"/>
  <c r="C794" i="1"/>
  <c r="D794" i="1"/>
  <c r="E794" i="1"/>
  <c r="F794" i="1"/>
  <c r="G794" i="1"/>
  <c r="H794" i="1"/>
  <c r="I794" i="1"/>
  <c r="J794" i="1"/>
  <c r="A795" i="1"/>
  <c r="B795" i="1"/>
  <c r="C795" i="1"/>
  <c r="D795" i="1"/>
  <c r="E795" i="1"/>
  <c r="F795" i="1"/>
  <c r="G795" i="1"/>
  <c r="H795" i="1"/>
  <c r="I795" i="1"/>
  <c r="J795" i="1"/>
  <c r="A796" i="1"/>
  <c r="B796" i="1"/>
  <c r="C796" i="1"/>
  <c r="D796" i="1"/>
  <c r="E796" i="1"/>
  <c r="F796" i="1"/>
  <c r="G796" i="1"/>
  <c r="H796" i="1"/>
  <c r="I796" i="1"/>
  <c r="J796" i="1"/>
  <c r="A797" i="1"/>
  <c r="B797" i="1"/>
  <c r="C797" i="1"/>
  <c r="D797" i="1"/>
  <c r="E797" i="1"/>
  <c r="F797" i="1"/>
  <c r="G797" i="1"/>
  <c r="H797" i="1"/>
  <c r="I797" i="1"/>
  <c r="J797" i="1"/>
  <c r="A798" i="1"/>
  <c r="B798" i="1"/>
  <c r="C798" i="1"/>
  <c r="D798" i="1"/>
  <c r="E798" i="1"/>
  <c r="F798" i="1"/>
  <c r="G798" i="1"/>
  <c r="H798" i="1"/>
  <c r="I798" i="1"/>
  <c r="J798" i="1"/>
  <c r="A799" i="1"/>
  <c r="B799" i="1"/>
  <c r="C799" i="1"/>
  <c r="D799" i="1"/>
  <c r="E799" i="1"/>
  <c r="F799" i="1"/>
  <c r="G799" i="1"/>
  <c r="H799" i="1"/>
  <c r="I799" i="1"/>
  <c r="J799" i="1"/>
  <c r="A800" i="1"/>
  <c r="B800" i="1"/>
  <c r="C800" i="1"/>
  <c r="D800" i="1"/>
  <c r="E800" i="1"/>
  <c r="F800" i="1"/>
  <c r="G800" i="1"/>
  <c r="H800" i="1"/>
  <c r="I800" i="1"/>
  <c r="J800" i="1"/>
  <c r="A801" i="1"/>
  <c r="B801" i="1"/>
  <c r="C801" i="1"/>
  <c r="D801" i="1"/>
  <c r="E801" i="1"/>
  <c r="F801" i="1"/>
  <c r="G801" i="1"/>
  <c r="H801" i="1"/>
  <c r="I801" i="1"/>
  <c r="J801" i="1"/>
  <c r="A802" i="1"/>
  <c r="B802" i="1"/>
  <c r="C802" i="1"/>
  <c r="D802" i="1"/>
  <c r="E802" i="1"/>
  <c r="F802" i="1"/>
  <c r="G802" i="1"/>
  <c r="H802" i="1"/>
  <c r="I802" i="1"/>
  <c r="J802" i="1"/>
  <c r="A803" i="1"/>
  <c r="B803" i="1"/>
  <c r="C803" i="1"/>
  <c r="D803" i="1"/>
  <c r="E803" i="1"/>
  <c r="F803" i="1"/>
  <c r="G803" i="1"/>
  <c r="H803" i="1"/>
  <c r="I803" i="1"/>
  <c r="J803" i="1"/>
  <c r="A804" i="1"/>
  <c r="B804" i="1"/>
  <c r="C804" i="1"/>
  <c r="D804" i="1"/>
  <c r="E804" i="1"/>
  <c r="F804" i="1"/>
  <c r="G804" i="1"/>
  <c r="H804" i="1"/>
  <c r="I804" i="1"/>
  <c r="J804" i="1"/>
  <c r="A805" i="1"/>
  <c r="B805" i="1"/>
  <c r="C805" i="1"/>
  <c r="D805" i="1"/>
  <c r="E805" i="1"/>
  <c r="F805" i="1"/>
  <c r="G805" i="1"/>
  <c r="H805" i="1"/>
  <c r="I805" i="1"/>
  <c r="J805" i="1"/>
  <c r="A806" i="1"/>
  <c r="B806" i="1"/>
  <c r="C806" i="1"/>
  <c r="D806" i="1"/>
  <c r="E806" i="1"/>
  <c r="F806" i="1"/>
  <c r="G806" i="1"/>
  <c r="H806" i="1"/>
  <c r="I806" i="1"/>
  <c r="J806" i="1"/>
  <c r="A807" i="1"/>
  <c r="B807" i="1"/>
  <c r="C807" i="1"/>
  <c r="D807" i="1"/>
  <c r="E807" i="1"/>
  <c r="F807" i="1"/>
  <c r="G807" i="1"/>
  <c r="H807" i="1"/>
  <c r="I807" i="1"/>
  <c r="J807" i="1"/>
  <c r="A808" i="1"/>
  <c r="B808" i="1"/>
  <c r="C808" i="1"/>
  <c r="D808" i="1"/>
  <c r="E808" i="1"/>
  <c r="F808" i="1"/>
  <c r="G808" i="1"/>
  <c r="H808" i="1"/>
  <c r="I808" i="1"/>
  <c r="J808" i="1"/>
  <c r="A809" i="1"/>
  <c r="B809" i="1"/>
  <c r="C809" i="1"/>
  <c r="D809" i="1"/>
  <c r="E809" i="1"/>
  <c r="F809" i="1"/>
  <c r="G809" i="1"/>
  <c r="H809" i="1"/>
  <c r="I809" i="1"/>
  <c r="J809" i="1"/>
  <c r="A810" i="1"/>
  <c r="B810" i="1"/>
  <c r="C810" i="1"/>
  <c r="D810" i="1"/>
  <c r="E810" i="1"/>
  <c r="F810" i="1"/>
  <c r="G810" i="1"/>
  <c r="H810" i="1"/>
  <c r="I810" i="1"/>
  <c r="J810" i="1"/>
  <c r="A811" i="1"/>
  <c r="B811" i="1"/>
  <c r="C811" i="1"/>
  <c r="D811" i="1"/>
  <c r="E811" i="1"/>
  <c r="F811" i="1"/>
  <c r="G811" i="1"/>
  <c r="H811" i="1"/>
  <c r="I811" i="1"/>
  <c r="J811" i="1"/>
  <c r="A812" i="1"/>
  <c r="B812" i="1"/>
  <c r="C812" i="1"/>
  <c r="D812" i="1"/>
  <c r="E812" i="1"/>
  <c r="F812" i="1"/>
  <c r="G812" i="1"/>
  <c r="H812" i="1"/>
  <c r="I812" i="1"/>
  <c r="J812" i="1"/>
  <c r="A813" i="1"/>
  <c r="B813" i="1"/>
  <c r="C813" i="1"/>
  <c r="D813" i="1"/>
  <c r="E813" i="1"/>
  <c r="F813" i="1"/>
  <c r="G813" i="1"/>
  <c r="H813" i="1"/>
  <c r="I813" i="1"/>
  <c r="J813" i="1"/>
  <c r="A814" i="1"/>
  <c r="B814" i="1"/>
  <c r="C814" i="1"/>
  <c r="D814" i="1"/>
  <c r="E814" i="1"/>
  <c r="F814" i="1"/>
  <c r="G814" i="1"/>
  <c r="H814" i="1"/>
  <c r="I814" i="1"/>
  <c r="J814" i="1"/>
  <c r="A815" i="1"/>
  <c r="B815" i="1"/>
  <c r="C815" i="1"/>
  <c r="D815" i="1"/>
  <c r="E815" i="1"/>
  <c r="F815" i="1"/>
  <c r="G815" i="1"/>
  <c r="H815" i="1"/>
  <c r="I815" i="1"/>
  <c r="J815" i="1"/>
  <c r="A816" i="1"/>
  <c r="B816" i="1"/>
  <c r="C816" i="1"/>
  <c r="D816" i="1"/>
  <c r="E816" i="1"/>
  <c r="F816" i="1"/>
  <c r="G816" i="1"/>
  <c r="H816" i="1"/>
  <c r="I816" i="1"/>
  <c r="J816" i="1"/>
  <c r="A817" i="1"/>
  <c r="B817" i="1"/>
  <c r="C817" i="1"/>
  <c r="D817" i="1"/>
  <c r="E817" i="1"/>
  <c r="F817" i="1"/>
  <c r="G817" i="1"/>
  <c r="H817" i="1"/>
  <c r="I817" i="1"/>
  <c r="J817" i="1"/>
  <c r="A818" i="1"/>
  <c r="B818" i="1"/>
  <c r="C818" i="1"/>
  <c r="D818" i="1"/>
  <c r="E818" i="1"/>
  <c r="F818" i="1"/>
  <c r="G818" i="1"/>
  <c r="H818" i="1"/>
  <c r="I818" i="1"/>
  <c r="J818" i="1"/>
  <c r="A819" i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A821" i="1"/>
  <c r="B821" i="1"/>
  <c r="C821" i="1"/>
  <c r="D821" i="1"/>
  <c r="E821" i="1"/>
  <c r="F821" i="1"/>
  <c r="G821" i="1"/>
  <c r="H821" i="1"/>
  <c r="I821" i="1"/>
  <c r="J821" i="1"/>
  <c r="A822" i="1"/>
  <c r="B822" i="1"/>
  <c r="C822" i="1"/>
  <c r="D822" i="1"/>
  <c r="E822" i="1"/>
  <c r="F822" i="1"/>
  <c r="G822" i="1"/>
  <c r="H822" i="1"/>
  <c r="I822" i="1"/>
  <c r="J822" i="1"/>
  <c r="A823" i="1"/>
  <c r="B823" i="1"/>
  <c r="C823" i="1"/>
  <c r="D823" i="1"/>
  <c r="E823" i="1"/>
  <c r="F823" i="1"/>
  <c r="G823" i="1"/>
  <c r="H823" i="1"/>
  <c r="I823" i="1"/>
  <c r="J823" i="1"/>
  <c r="A824" i="1"/>
  <c r="B824" i="1"/>
  <c r="C824" i="1"/>
  <c r="D824" i="1"/>
  <c r="E824" i="1"/>
  <c r="F824" i="1"/>
  <c r="G824" i="1"/>
  <c r="H824" i="1"/>
  <c r="I824" i="1"/>
  <c r="J824" i="1"/>
  <c r="A825" i="1"/>
  <c r="B825" i="1"/>
  <c r="C825" i="1"/>
  <c r="D825" i="1"/>
  <c r="E825" i="1"/>
  <c r="F825" i="1"/>
  <c r="G825" i="1"/>
  <c r="H825" i="1"/>
  <c r="I825" i="1"/>
  <c r="J825" i="1"/>
  <c r="A826" i="1"/>
  <c r="B826" i="1"/>
  <c r="C826" i="1"/>
  <c r="D826" i="1"/>
  <c r="E826" i="1"/>
  <c r="F826" i="1"/>
  <c r="G826" i="1"/>
  <c r="H826" i="1"/>
  <c r="I826" i="1"/>
  <c r="J826" i="1"/>
  <c r="A827" i="1"/>
  <c r="B827" i="1"/>
  <c r="C827" i="1"/>
  <c r="D827" i="1"/>
  <c r="E827" i="1"/>
  <c r="F827" i="1"/>
  <c r="G827" i="1"/>
  <c r="H827" i="1"/>
  <c r="I827" i="1"/>
  <c r="J827" i="1"/>
  <c r="A828" i="1"/>
  <c r="B828" i="1"/>
  <c r="C828" i="1"/>
  <c r="D828" i="1"/>
  <c r="E828" i="1"/>
  <c r="F828" i="1"/>
  <c r="G828" i="1"/>
  <c r="H828" i="1"/>
  <c r="I828" i="1"/>
  <c r="J828" i="1"/>
  <c r="A829" i="1"/>
  <c r="B829" i="1"/>
  <c r="C829" i="1"/>
  <c r="D829" i="1"/>
  <c r="E829" i="1"/>
  <c r="F829" i="1"/>
  <c r="G829" i="1"/>
  <c r="H829" i="1"/>
  <c r="I829" i="1"/>
  <c r="J829" i="1"/>
  <c r="A830" i="1"/>
  <c r="B830" i="1"/>
  <c r="C830" i="1"/>
  <c r="D830" i="1"/>
  <c r="E830" i="1"/>
  <c r="F830" i="1"/>
  <c r="G830" i="1"/>
  <c r="H830" i="1"/>
  <c r="I830" i="1"/>
  <c r="J830" i="1"/>
  <c r="A831" i="1"/>
  <c r="B831" i="1"/>
  <c r="C831" i="1"/>
  <c r="D831" i="1"/>
  <c r="E831" i="1"/>
  <c r="F831" i="1"/>
  <c r="G831" i="1"/>
  <c r="H831" i="1"/>
  <c r="I831" i="1"/>
  <c r="J831" i="1"/>
  <c r="A832" i="1"/>
  <c r="B832" i="1"/>
  <c r="C832" i="1"/>
  <c r="D832" i="1"/>
  <c r="E832" i="1"/>
  <c r="F832" i="1"/>
  <c r="G832" i="1"/>
  <c r="H832" i="1"/>
  <c r="I832" i="1"/>
  <c r="J832" i="1"/>
  <c r="A833" i="1"/>
  <c r="B833" i="1"/>
  <c r="C833" i="1"/>
  <c r="D833" i="1"/>
  <c r="E833" i="1"/>
  <c r="F833" i="1"/>
  <c r="G833" i="1"/>
  <c r="H833" i="1"/>
  <c r="I833" i="1"/>
  <c r="J833" i="1"/>
  <c r="A834" i="1"/>
  <c r="B834" i="1"/>
  <c r="C834" i="1"/>
  <c r="D834" i="1"/>
  <c r="E834" i="1"/>
  <c r="F834" i="1"/>
  <c r="G834" i="1"/>
  <c r="H834" i="1"/>
  <c r="I834" i="1"/>
  <c r="J834" i="1"/>
  <c r="A835" i="1"/>
  <c r="B835" i="1"/>
  <c r="C835" i="1"/>
  <c r="D835" i="1"/>
  <c r="E835" i="1"/>
  <c r="F835" i="1"/>
  <c r="G835" i="1"/>
  <c r="H835" i="1"/>
  <c r="I835" i="1"/>
  <c r="J835" i="1"/>
  <c r="A836" i="1"/>
  <c r="B836" i="1"/>
  <c r="C836" i="1"/>
  <c r="D836" i="1"/>
  <c r="E836" i="1"/>
  <c r="F836" i="1"/>
  <c r="G836" i="1"/>
  <c r="H836" i="1"/>
  <c r="I836" i="1"/>
  <c r="J836" i="1"/>
  <c r="A837" i="1"/>
  <c r="B837" i="1"/>
  <c r="C837" i="1"/>
  <c r="D837" i="1"/>
  <c r="E837" i="1"/>
  <c r="F837" i="1"/>
  <c r="G837" i="1"/>
  <c r="H837" i="1"/>
  <c r="I837" i="1"/>
  <c r="J837" i="1"/>
  <c r="A838" i="1"/>
  <c r="B838" i="1"/>
  <c r="C838" i="1"/>
  <c r="D838" i="1"/>
  <c r="E838" i="1"/>
  <c r="F838" i="1"/>
  <c r="G838" i="1"/>
  <c r="H838" i="1"/>
  <c r="I838" i="1"/>
  <c r="J838" i="1"/>
  <c r="A839" i="1"/>
  <c r="B839" i="1"/>
  <c r="C839" i="1"/>
  <c r="D839" i="1"/>
  <c r="E839" i="1"/>
  <c r="F839" i="1"/>
  <c r="G839" i="1"/>
  <c r="H839" i="1"/>
  <c r="I839" i="1"/>
  <c r="J839" i="1"/>
  <c r="A840" i="1"/>
  <c r="B840" i="1"/>
  <c r="C840" i="1"/>
  <c r="D840" i="1"/>
  <c r="E840" i="1"/>
  <c r="F840" i="1"/>
  <c r="G840" i="1"/>
  <c r="H840" i="1"/>
  <c r="I840" i="1"/>
  <c r="J840" i="1"/>
  <c r="A841" i="1"/>
  <c r="B841" i="1"/>
  <c r="C841" i="1"/>
  <c r="D841" i="1"/>
  <c r="E841" i="1"/>
  <c r="F841" i="1"/>
  <c r="G841" i="1"/>
  <c r="H841" i="1"/>
  <c r="I841" i="1"/>
  <c r="J841" i="1"/>
  <c r="A842" i="1"/>
  <c r="B842" i="1"/>
  <c r="C842" i="1"/>
  <c r="D842" i="1"/>
  <c r="E842" i="1"/>
  <c r="F842" i="1"/>
  <c r="G842" i="1"/>
  <c r="H842" i="1"/>
  <c r="I842" i="1"/>
  <c r="J842" i="1"/>
  <c r="A843" i="1"/>
  <c r="B843" i="1"/>
  <c r="C843" i="1"/>
  <c r="D843" i="1"/>
  <c r="E843" i="1"/>
  <c r="F843" i="1"/>
  <c r="G843" i="1"/>
  <c r="H843" i="1"/>
  <c r="I843" i="1"/>
  <c r="J843" i="1"/>
  <c r="A844" i="1"/>
  <c r="B844" i="1"/>
  <c r="C844" i="1"/>
  <c r="D844" i="1"/>
  <c r="E844" i="1"/>
  <c r="F844" i="1"/>
  <c r="G844" i="1"/>
  <c r="H844" i="1"/>
  <c r="I844" i="1"/>
  <c r="J844" i="1"/>
  <c r="A845" i="1"/>
  <c r="B845" i="1"/>
  <c r="C845" i="1"/>
  <c r="D845" i="1"/>
  <c r="E845" i="1"/>
  <c r="F845" i="1"/>
  <c r="G845" i="1"/>
  <c r="H845" i="1"/>
  <c r="I845" i="1"/>
  <c r="J845" i="1"/>
  <c r="A846" i="1"/>
  <c r="B846" i="1"/>
  <c r="C846" i="1"/>
  <c r="D846" i="1"/>
  <c r="E846" i="1"/>
  <c r="F846" i="1"/>
  <c r="G846" i="1"/>
  <c r="H846" i="1"/>
  <c r="I846" i="1"/>
  <c r="J846" i="1"/>
  <c r="A847" i="1"/>
  <c r="B847" i="1"/>
  <c r="C847" i="1"/>
  <c r="D847" i="1"/>
  <c r="E847" i="1"/>
  <c r="F847" i="1"/>
  <c r="G847" i="1"/>
  <c r="H847" i="1"/>
  <c r="I847" i="1"/>
  <c r="J847" i="1"/>
  <c r="A848" i="1"/>
  <c r="B848" i="1"/>
  <c r="C848" i="1"/>
  <c r="D848" i="1"/>
  <c r="E848" i="1"/>
  <c r="F848" i="1"/>
  <c r="G848" i="1"/>
  <c r="H848" i="1"/>
  <c r="I848" i="1"/>
  <c r="J848" i="1"/>
</calcChain>
</file>

<file path=xl/sharedStrings.xml><?xml version="1.0" encoding="utf-8"?>
<sst xmlns="http://schemas.openxmlformats.org/spreadsheetml/2006/main" count="607" uniqueCount="205">
  <si>
    <t>Configuration</t>
  </si>
  <si>
    <t>Term</t>
  </si>
  <si>
    <t>J</t>
  </si>
  <si>
    <t>Prefix</t>
  </si>
  <si>
    <t>Level (cm-1)</t>
  </si>
  <si>
    <t>Suffix</t>
  </si>
  <si>
    <t>Uncertainty (cm-1)</t>
  </si>
  <si>
    <t>Lande</t>
  </si>
  <si>
    <t>Leading percentages</t>
  </si>
  <si>
    <t>Reference</t>
  </si>
  <si>
    <t>4d7.(a 4F).5s</t>
  </si>
  <si>
    <t>a 5F</t>
  </si>
  <si>
    <t>L3466</t>
  </si>
  <si>
    <t>a 3F</t>
  </si>
  <si>
    <t>4d6.5s2</t>
  </si>
  <si>
    <t>a 5D</t>
  </si>
  <si>
    <t>4d7.(a 4P).5s</t>
  </si>
  <si>
    <t>a 5P</t>
  </si>
  <si>
    <t>4d8</t>
  </si>
  <si>
    <t>b 3F</t>
  </si>
  <si>
    <t>4d7.(a 2P).5s</t>
  </si>
  <si>
    <t>a 3P</t>
  </si>
  <si>
    <t>4d7.(a 2G).5s</t>
  </si>
  <si>
    <t>a 3G</t>
  </si>
  <si>
    <t>b 3P</t>
  </si>
  <si>
    <t>a 1G</t>
  </si>
  <si>
    <t>4d7.(a 2D).5s</t>
  </si>
  <si>
    <t>a 3D</t>
  </si>
  <si>
    <t>4d7.(a 2H).5s</t>
  </si>
  <si>
    <t>a 3H</t>
  </si>
  <si>
    <t>a 1D</t>
  </si>
  <si>
    <t>a 1H</t>
  </si>
  <si>
    <t>a 1P</t>
  </si>
  <si>
    <t>c 3P</t>
  </si>
  <si>
    <t>?</t>
  </si>
  <si>
    <t>c 3F</t>
  </si>
  <si>
    <t>b 3H</t>
  </si>
  <si>
    <t>0.91?</t>
  </si>
  <si>
    <t>b 1G</t>
  </si>
  <si>
    <t>b 1D</t>
  </si>
  <si>
    <t>d 3P?</t>
  </si>
  <si>
    <t>4d6.5s.(a 6D).5p</t>
  </si>
  <si>
    <t>z 7D*</t>
  </si>
  <si>
    <t>b 3G</t>
  </si>
  <si>
    <t>4d7.(a 4F).5p</t>
  </si>
  <si>
    <t>z 5D*</t>
  </si>
  <si>
    <t>z 5F*</t>
  </si>
  <si>
    <t>4d7.(a 2F).5s?</t>
  </si>
  <si>
    <t>d 3F</t>
  </si>
  <si>
    <t>z 3G*</t>
  </si>
  <si>
    <t>z 5G*</t>
  </si>
  <si>
    <t>z 7F*</t>
  </si>
  <si>
    <t>b 3D</t>
  </si>
  <si>
    <t>z 7P*</t>
  </si>
  <si>
    <t>z 3F*</t>
  </si>
  <si>
    <t>z 3D*</t>
  </si>
  <si>
    <t>4d7.(a 4P).5p</t>
  </si>
  <si>
    <t>z 5S*</t>
  </si>
  <si>
    <t>y 5D*</t>
  </si>
  <si>
    <t>z 5P*</t>
  </si>
  <si>
    <t>y 5F*</t>
  </si>
  <si>
    <t>x 5D*</t>
  </si>
  <si>
    <t>y 3D*</t>
  </si>
  <si>
    <t>z 3P*</t>
  </si>
  <si>
    <t>4d7.(a 2G).5p</t>
  </si>
  <si>
    <t>y 3F*</t>
  </si>
  <si>
    <t>z 3H*</t>
  </si>
  <si>
    <t>z 3S*</t>
  </si>
  <si>
    <t>y 5P*</t>
  </si>
  <si>
    <t>z 1G*</t>
  </si>
  <si>
    <t>y 3G*</t>
  </si>
  <si>
    <t>4d7.(a 2P).5p</t>
  </si>
  <si>
    <t>y 3P*</t>
  </si>
  <si>
    <t>1*(3F*)</t>
  </si>
  <si>
    <t>z 1H*</t>
  </si>
  <si>
    <t>x 3D*</t>
  </si>
  <si>
    <t>z 1F*</t>
  </si>
  <si>
    <t>4d7.(a 2D).5p</t>
  </si>
  <si>
    <t>x 3F*</t>
  </si>
  <si>
    <t>4d7.(a 4F).6s</t>
  </si>
  <si>
    <t>e 5F</t>
  </si>
  <si>
    <t>w 3D*</t>
  </si>
  <si>
    <t>4d7.(a 2H).5p</t>
  </si>
  <si>
    <t>z 3I*</t>
  </si>
  <si>
    <t>x 3G*</t>
  </si>
  <si>
    <t>z 1D*</t>
  </si>
  <si>
    <t>e 3F</t>
  </si>
  <si>
    <t>v 3D*</t>
  </si>
  <si>
    <t>z 1I*</t>
  </si>
  <si>
    <t>z 1P*</t>
  </si>
  <si>
    <t>z 1S*</t>
  </si>
  <si>
    <t>A</t>
  </si>
  <si>
    <t>y 1F*</t>
  </si>
  <si>
    <t>y 3S*</t>
  </si>
  <si>
    <t>u 3D*</t>
  </si>
  <si>
    <t>y 3H*</t>
  </si>
  <si>
    <t>y 1H*</t>
  </si>
  <si>
    <t>w 3G*</t>
  </si>
  <si>
    <t>y 1D*</t>
  </si>
  <si>
    <t>2*(5G*)</t>
  </si>
  <si>
    <t>x 3P*</t>
  </si>
  <si>
    <t>4d6.5s.(a 4D).5p</t>
  </si>
  <si>
    <t>w 5D*</t>
  </si>
  <si>
    <t>3*(3P*)</t>
  </si>
  <si>
    <t>x 5F*</t>
  </si>
  <si>
    <t>4*</t>
  </si>
  <si>
    <t>5*(5G*)</t>
  </si>
  <si>
    <t>4d6.5s.(b 4P).5p</t>
  </si>
  <si>
    <t>y 5S*</t>
  </si>
  <si>
    <t>4d7.(a 2F).5p?</t>
  </si>
  <si>
    <t>x 1F*</t>
  </si>
  <si>
    <t>y 1G*</t>
  </si>
  <si>
    <t>6*</t>
  </si>
  <si>
    <t>x 1G*</t>
  </si>
  <si>
    <t>7*</t>
  </si>
  <si>
    <t>4d7.(a 4F).6p?</t>
  </si>
  <si>
    <t>w 3F*</t>
  </si>
  <si>
    <t>t 3D*</t>
  </si>
  <si>
    <t>8*</t>
  </si>
  <si>
    <t>9*</t>
  </si>
  <si>
    <t>10*</t>
  </si>
  <si>
    <t>11*</t>
  </si>
  <si>
    <t>12*</t>
  </si>
  <si>
    <t>13*</t>
  </si>
  <si>
    <t>4d6.5s.(b 2H).5p?</t>
  </si>
  <si>
    <t>x 1H*</t>
  </si>
  <si>
    <t>4d7.(a 2D).5p?</t>
  </si>
  <si>
    <t>y 1P*</t>
  </si>
  <si>
    <t>14*</t>
  </si>
  <si>
    <t>x 5P*</t>
  </si>
  <si>
    <t>15*</t>
  </si>
  <si>
    <t>4d7.(a 4F).5d?</t>
  </si>
  <si>
    <t>f 5F</t>
  </si>
  <si>
    <t>e 5D</t>
  </si>
  <si>
    <t>e 5G</t>
  </si>
  <si>
    <t>16*</t>
  </si>
  <si>
    <t>e 3G</t>
  </si>
  <si>
    <t>17*</t>
  </si>
  <si>
    <t>18*(5D*)</t>
  </si>
  <si>
    <t>19*</t>
  </si>
  <si>
    <t>s 3D*</t>
  </si>
  <si>
    <t>20*(5D*)</t>
  </si>
  <si>
    <t>21*</t>
  </si>
  <si>
    <t>B(3F)</t>
  </si>
  <si>
    <t>22*</t>
  </si>
  <si>
    <t>23*</t>
  </si>
  <si>
    <t>24*</t>
  </si>
  <si>
    <t>25*</t>
  </si>
  <si>
    <t>26*</t>
  </si>
  <si>
    <t>27*</t>
  </si>
  <si>
    <t>28*</t>
  </si>
  <si>
    <t>29*</t>
  </si>
  <si>
    <t>30*</t>
  </si>
  <si>
    <t>31*</t>
  </si>
  <si>
    <t>32*</t>
  </si>
  <si>
    <t>33*</t>
  </si>
  <si>
    <t>4d6.5s.(a 6D).6s</t>
  </si>
  <si>
    <t>e 7D</t>
  </si>
  <si>
    <t>34*</t>
  </si>
  <si>
    <t>e 3D</t>
  </si>
  <si>
    <t>35*</t>
  </si>
  <si>
    <t>36*</t>
  </si>
  <si>
    <t>37*</t>
  </si>
  <si>
    <t>3?</t>
  </si>
  <si>
    <t>38*</t>
  </si>
  <si>
    <t>39*</t>
  </si>
  <si>
    <t>40*</t>
  </si>
  <si>
    <t>41*</t>
  </si>
  <si>
    <t>42*</t>
  </si>
  <si>
    <t>43*</t>
  </si>
  <si>
    <t>44*</t>
  </si>
  <si>
    <t>45*</t>
  </si>
  <si>
    <t>46*</t>
  </si>
  <si>
    <t>47*</t>
  </si>
  <si>
    <t>4d7.(a 4P).5d</t>
  </si>
  <si>
    <t>e 5P</t>
  </si>
  <si>
    <t>48*</t>
  </si>
  <si>
    <t>49*</t>
  </si>
  <si>
    <t>50*</t>
  </si>
  <si>
    <t>51*</t>
  </si>
  <si>
    <t>4?</t>
  </si>
  <si>
    <t>4d6.5s.(a 6D).5d</t>
  </si>
  <si>
    <t>e 5S</t>
  </si>
  <si>
    <t>C(7F)</t>
  </si>
  <si>
    <t>4d6.5s.(a 6D).5d?</t>
  </si>
  <si>
    <t>f 7D</t>
  </si>
  <si>
    <t>52*</t>
  </si>
  <si>
    <t>53*</t>
  </si>
  <si>
    <t>54*</t>
  </si>
  <si>
    <t>v 3G*</t>
  </si>
  <si>
    <t>55*</t>
  </si>
  <si>
    <t>56*</t>
  </si>
  <si>
    <t>57*</t>
  </si>
  <si>
    <t>58*</t>
  </si>
  <si>
    <t>f 5D</t>
  </si>
  <si>
    <t>59*</t>
  </si>
  <si>
    <t>60*</t>
  </si>
  <si>
    <t>61*</t>
  </si>
  <si>
    <t>D</t>
  </si>
  <si>
    <t>62*</t>
  </si>
  <si>
    <t>E</t>
  </si>
  <si>
    <t>Ru II (4d7 4F&lt;9/2&gt;)</t>
  </si>
  <si>
    <t>Limit</t>
  </si>
  <si>
    <t>---</t>
  </si>
  <si>
    <t>L10032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</si>
</sst>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8"/>
  <sheetViews>
    <sheetView workbookViewId="0"/>
  </sheetViews>
  <sheetFormatPr defaultRowHeight="15"/>
  <cols>
    <col min="1" max="1" width="19.5703125" bestFit="1" customWidth="1"/>
    <col min="5" max="5" width="10.85546875" bestFit="1" customWidth="1"/>
    <col min="7" max="7" width="16.42578125" bestFit="1" customWidth="1"/>
    <col min="8" max="8" width="7.42578125" bestFit="1" customWidth="1"/>
    <col min="9" max="9" width="40.1406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tr">
        <f>"3d6.4s2"</f>
        <v>3d6.4s2</v>
      </c>
      <c r="B2" t="str">
        <f>"a 5D"</f>
        <v>a 5D</v>
      </c>
      <c r="C2" t="str">
        <f>"4"</f>
        <v>4</v>
      </c>
      <c r="D2" t="str">
        <f>""</f>
        <v/>
      </c>
      <c r="E2" t="str">
        <f>"0.000"</f>
        <v>0.000</v>
      </c>
      <c r="F2" t="str">
        <f>""</f>
        <v/>
      </c>
      <c r="G2" t="str">
        <f>""</f>
        <v/>
      </c>
      <c r="H2" t="str">
        <f>"1.50020"</f>
        <v>1.50020</v>
      </c>
      <c r="I2" t="str">
        <f t="shared" ref="I2:I11" si="0">" 100                                                 "</f>
        <v xml:space="preserve"> 100                                                 </v>
      </c>
      <c r="J2" t="str">
        <f>"L11631"</f>
        <v>L11631</v>
      </c>
    </row>
    <row r="3" spans="1:10">
      <c r="A3" s="1" t="str">
        <f>"3d6.4s2"</f>
        <v>3d6.4s2</v>
      </c>
      <c r="B3" t="str">
        <f>"a 5D"</f>
        <v>a 5D</v>
      </c>
      <c r="C3" t="str">
        <f>"3"</f>
        <v>3</v>
      </c>
      <c r="D3" t="str">
        <f>""</f>
        <v/>
      </c>
      <c r="E3" t="str">
        <f>"415.933"</f>
        <v>415.933</v>
      </c>
      <c r="F3" t="str">
        <f>""</f>
        <v/>
      </c>
      <c r="G3" t="str">
        <f t="shared" ref="G3:G19" si="1">"0.001"</f>
        <v>0.001</v>
      </c>
      <c r="H3" t="str">
        <f>"1.50034"</f>
        <v>1.50034</v>
      </c>
      <c r="I3" t="str">
        <f t="shared" si="0"/>
        <v xml:space="preserve"> 100                                                 </v>
      </c>
      <c r="J3" t="str">
        <f>""</f>
        <v/>
      </c>
    </row>
    <row r="4" spans="1:10">
      <c r="A4" s="1" t="str">
        <f>"3d6.4s2"</f>
        <v>3d6.4s2</v>
      </c>
      <c r="B4" t="str">
        <f>"a 5D"</f>
        <v>a 5D</v>
      </c>
      <c r="C4" t="str">
        <f>"2"</f>
        <v>2</v>
      </c>
      <c r="D4" t="str">
        <f>""</f>
        <v/>
      </c>
      <c r="E4" t="str">
        <f>"704.007"</f>
        <v>704.007</v>
      </c>
      <c r="F4" t="str">
        <f>""</f>
        <v/>
      </c>
      <c r="G4" t="str">
        <f t="shared" si="1"/>
        <v>0.001</v>
      </c>
      <c r="H4" t="str">
        <f>"1.50041"</f>
        <v>1.50041</v>
      </c>
      <c r="I4" t="str">
        <f t="shared" si="0"/>
        <v xml:space="preserve"> 100                                                 </v>
      </c>
      <c r="J4" t="str">
        <f>""</f>
        <v/>
      </c>
    </row>
    <row r="5" spans="1:10">
      <c r="A5" s="1" t="str">
        <f>"3d6.4s2"</f>
        <v>3d6.4s2</v>
      </c>
      <c r="B5" t="str">
        <f>"a 5D"</f>
        <v>a 5D</v>
      </c>
      <c r="C5" t="str">
        <f>"1"</f>
        <v>1</v>
      </c>
      <c r="D5" t="str">
        <f>""</f>
        <v/>
      </c>
      <c r="E5" t="str">
        <f>"888.132"</f>
        <v>888.132</v>
      </c>
      <c r="F5" t="str">
        <f>""</f>
        <v/>
      </c>
      <c r="G5" t="str">
        <f t="shared" si="1"/>
        <v>0.001</v>
      </c>
      <c r="H5" t="str">
        <f>"1.50022"</f>
        <v>1.50022</v>
      </c>
      <c r="I5" t="str">
        <f t="shared" si="0"/>
        <v xml:space="preserve"> 100                                                 </v>
      </c>
      <c r="J5" t="str">
        <f>""</f>
        <v/>
      </c>
    </row>
    <row r="6" spans="1:10">
      <c r="A6" s="1" t="str">
        <f>"3d6.4s2"</f>
        <v>3d6.4s2</v>
      </c>
      <c r="B6" t="str">
        <f>"a 5D"</f>
        <v>a 5D</v>
      </c>
      <c r="C6" t="str">
        <f>"0"</f>
        <v>0</v>
      </c>
      <c r="D6" t="str">
        <f>""</f>
        <v/>
      </c>
      <c r="E6" t="str">
        <f>"978.074"</f>
        <v>978.074</v>
      </c>
      <c r="F6" t="str">
        <f>""</f>
        <v/>
      </c>
      <c r="G6" t="str">
        <f t="shared" si="1"/>
        <v>0.001</v>
      </c>
      <c r="H6" t="str">
        <f>""</f>
        <v/>
      </c>
      <c r="I6" t="str">
        <f t="shared" si="0"/>
        <v xml:space="preserve"> 100                                                 </v>
      </c>
      <c r="J6" t="str">
        <f>""</f>
        <v/>
      </c>
    </row>
    <row r="7" spans="1:10">
      <c r="A7" s="1" t="str">
        <f t="shared" ref="A7:A14" si="2">"3d7.(4F).4s"</f>
        <v>3d7.(4F).4s</v>
      </c>
      <c r="B7" t="str">
        <f>"a 5F"</f>
        <v>a 5F</v>
      </c>
      <c r="C7" t="str">
        <f>"5"</f>
        <v>5</v>
      </c>
      <c r="D7" t="str">
        <f>""</f>
        <v/>
      </c>
      <c r="E7" t="str">
        <f>"6928.268"</f>
        <v>6928.268</v>
      </c>
      <c r="F7" t="str">
        <f>""</f>
        <v/>
      </c>
      <c r="G7" t="str">
        <f t="shared" si="1"/>
        <v>0.001</v>
      </c>
      <c r="H7" t="str">
        <f>"1.40021"</f>
        <v>1.40021</v>
      </c>
      <c r="I7" t="str">
        <f t="shared" si="0"/>
        <v xml:space="preserve"> 100                                                 </v>
      </c>
      <c r="J7" t="str">
        <f>""</f>
        <v/>
      </c>
    </row>
    <row r="8" spans="1:10">
      <c r="A8" s="1" t="str">
        <f t="shared" si="2"/>
        <v>3d7.(4F).4s</v>
      </c>
      <c r="B8" t="str">
        <f>"a 5F"</f>
        <v>a 5F</v>
      </c>
      <c r="C8" t="str">
        <f>"4"</f>
        <v>4</v>
      </c>
      <c r="D8" t="str">
        <f>""</f>
        <v/>
      </c>
      <c r="E8" t="str">
        <f>"7376.764"</f>
        <v>7376.764</v>
      </c>
      <c r="F8" t="str">
        <f>""</f>
        <v/>
      </c>
      <c r="G8" t="str">
        <f t="shared" si="1"/>
        <v>0.001</v>
      </c>
      <c r="H8" t="str">
        <f>"1.35004"</f>
        <v>1.35004</v>
      </c>
      <c r="I8" t="str">
        <f t="shared" si="0"/>
        <v xml:space="preserve"> 100                                                 </v>
      </c>
      <c r="J8" t="str">
        <f>""</f>
        <v/>
      </c>
    </row>
    <row r="9" spans="1:10">
      <c r="A9" s="1" t="str">
        <f t="shared" si="2"/>
        <v>3d7.(4F).4s</v>
      </c>
      <c r="B9" t="str">
        <f>"a 5F"</f>
        <v>a 5F</v>
      </c>
      <c r="C9" t="str">
        <f>"3"</f>
        <v>3</v>
      </c>
      <c r="D9" t="str">
        <f>""</f>
        <v/>
      </c>
      <c r="E9" t="str">
        <f>"7728.060"</f>
        <v>7728.060</v>
      </c>
      <c r="F9" t="str">
        <f>""</f>
        <v/>
      </c>
      <c r="G9" t="str">
        <f t="shared" si="1"/>
        <v>0.001</v>
      </c>
      <c r="H9" t="str">
        <f>"1.24988"</f>
        <v>1.24988</v>
      </c>
      <c r="I9" t="str">
        <f t="shared" si="0"/>
        <v xml:space="preserve"> 100                                                 </v>
      </c>
      <c r="J9" t="str">
        <f>""</f>
        <v/>
      </c>
    </row>
    <row r="10" spans="1:10">
      <c r="A10" s="1" t="str">
        <f t="shared" si="2"/>
        <v>3d7.(4F).4s</v>
      </c>
      <c r="B10" t="str">
        <f>"a 5F"</f>
        <v>a 5F</v>
      </c>
      <c r="C10" t="str">
        <f>"2"</f>
        <v>2</v>
      </c>
      <c r="D10" t="str">
        <f>""</f>
        <v/>
      </c>
      <c r="E10" t="str">
        <f>"7985.785"</f>
        <v>7985.785</v>
      </c>
      <c r="F10" t="str">
        <f>""</f>
        <v/>
      </c>
      <c r="G10" t="str">
        <f t="shared" si="1"/>
        <v>0.001</v>
      </c>
      <c r="H10" t="str">
        <f>"0.99953"</f>
        <v>0.99953</v>
      </c>
      <c r="I10" t="str">
        <f t="shared" si="0"/>
        <v xml:space="preserve"> 100                                                 </v>
      </c>
      <c r="J10" t="str">
        <f>""</f>
        <v/>
      </c>
    </row>
    <row r="11" spans="1:10">
      <c r="A11" s="1" t="str">
        <f t="shared" si="2"/>
        <v>3d7.(4F).4s</v>
      </c>
      <c r="B11" t="str">
        <f>"a 5F"</f>
        <v>a 5F</v>
      </c>
      <c r="C11" t="str">
        <f>"1"</f>
        <v>1</v>
      </c>
      <c r="D11" t="str">
        <f>""</f>
        <v/>
      </c>
      <c r="E11" t="str">
        <f>"8154.714"</f>
        <v>8154.714</v>
      </c>
      <c r="F11" t="str">
        <f>""</f>
        <v/>
      </c>
      <c r="G11" t="str">
        <f t="shared" si="1"/>
        <v>0.001</v>
      </c>
      <c r="H11" t="str">
        <f>"-0.014"</f>
        <v>-0.014</v>
      </c>
      <c r="I11" t="str">
        <f t="shared" si="0"/>
        <v xml:space="preserve"> 100                                                 </v>
      </c>
      <c r="J11" t="str">
        <f>""</f>
        <v/>
      </c>
    </row>
    <row r="12" spans="1:10">
      <c r="A12" s="1" t="str">
        <f t="shared" si="2"/>
        <v>3d7.(4F).4s</v>
      </c>
      <c r="B12" t="str">
        <f>"a 3F"</f>
        <v>a 3F</v>
      </c>
      <c r="C12" t="str">
        <f>"4"</f>
        <v>4</v>
      </c>
      <c r="D12" t="str">
        <f>""</f>
        <v/>
      </c>
      <c r="E12" t="str">
        <f>"11976.239"</f>
        <v>11976.239</v>
      </c>
      <c r="F12" t="str">
        <f>""</f>
        <v/>
      </c>
      <c r="G12" t="str">
        <f t="shared" si="1"/>
        <v>0.001</v>
      </c>
      <c r="H12" t="str">
        <f>"1.254"</f>
        <v>1.254</v>
      </c>
      <c r="I12" t="str">
        <f>"  98             :     1  3d6.4s2               3F2  "</f>
        <v xml:space="preserve">  98             :     1  3d6.4s2               3F2  </v>
      </c>
      <c r="J12" t="str">
        <f>""</f>
        <v/>
      </c>
    </row>
    <row r="13" spans="1:10">
      <c r="A13" s="1" t="str">
        <f t="shared" si="2"/>
        <v>3d7.(4F).4s</v>
      </c>
      <c r="B13" t="str">
        <f>"a 3F"</f>
        <v>a 3F</v>
      </c>
      <c r="C13" t="str">
        <f>"3"</f>
        <v>3</v>
      </c>
      <c r="D13" t="str">
        <f>""</f>
        <v/>
      </c>
      <c r="E13" t="str">
        <f>"12560.934"</f>
        <v>12560.934</v>
      </c>
      <c r="F13" t="str">
        <f>""</f>
        <v/>
      </c>
      <c r="G13" t="str">
        <f t="shared" si="1"/>
        <v>0.001</v>
      </c>
      <c r="H13" t="str">
        <f>"1.086"</f>
        <v>1.086</v>
      </c>
      <c r="I13" t="str">
        <f>"  98             :     1  3d6.4s2               3F2  "</f>
        <v xml:space="preserve">  98             :     1  3d6.4s2               3F2  </v>
      </c>
      <c r="J13" t="str">
        <f>""</f>
        <v/>
      </c>
    </row>
    <row r="14" spans="1:10">
      <c r="A14" s="1" t="str">
        <f t="shared" si="2"/>
        <v>3d7.(4F).4s</v>
      </c>
      <c r="B14" t="str">
        <f>"a 3F"</f>
        <v>a 3F</v>
      </c>
      <c r="C14" t="str">
        <f>"2"</f>
        <v>2</v>
      </c>
      <c r="D14" t="str">
        <f>""</f>
        <v/>
      </c>
      <c r="E14" t="str">
        <f>"12968.554"</f>
        <v>12968.554</v>
      </c>
      <c r="F14" t="str">
        <f>""</f>
        <v/>
      </c>
      <c r="G14" t="str">
        <f t="shared" si="1"/>
        <v>0.001</v>
      </c>
      <c r="H14" t="str">
        <f>"0.670"</f>
        <v>0.670</v>
      </c>
      <c r="I14" t="str">
        <f>"  98             :     1  3d6.4s2               3F2  "</f>
        <v xml:space="preserve">  98             :     1  3d6.4s2               3F2  </v>
      </c>
      <c r="J14" t="str">
        <f>""</f>
        <v/>
      </c>
    </row>
    <row r="15" spans="1:10">
      <c r="A15" s="1" t="str">
        <f>"3d7.(4P).4s"</f>
        <v>3d7.(4P).4s</v>
      </c>
      <c r="B15" t="str">
        <f>"a 5P"</f>
        <v>a 5P</v>
      </c>
      <c r="C15" t="str">
        <f>"3"</f>
        <v>3</v>
      </c>
      <c r="D15" t="str">
        <f>""</f>
        <v/>
      </c>
      <c r="E15" t="str">
        <f>"17550.181"</f>
        <v>17550.181</v>
      </c>
      <c r="F15" t="str">
        <f>""</f>
        <v/>
      </c>
      <c r="G15" t="str">
        <f t="shared" si="1"/>
        <v>0.001</v>
      </c>
      <c r="H15" t="str">
        <f>"1.666"</f>
        <v>1.666</v>
      </c>
      <c r="I15" t="str">
        <f>"  99                                                 "</f>
        <v xml:space="preserve">  99                                                 </v>
      </c>
      <c r="J15" t="str">
        <f>""</f>
        <v/>
      </c>
    </row>
    <row r="16" spans="1:10">
      <c r="A16" s="1" t="str">
        <f>"3d7.(4P).4s"</f>
        <v>3d7.(4P).4s</v>
      </c>
      <c r="B16" t="str">
        <f>"a 5P"</f>
        <v>a 5P</v>
      </c>
      <c r="C16" t="str">
        <f>"2"</f>
        <v>2</v>
      </c>
      <c r="D16" t="str">
        <f>""</f>
        <v/>
      </c>
      <c r="E16" t="str">
        <f>"17726.988"</f>
        <v>17726.988</v>
      </c>
      <c r="F16" t="str">
        <f>""</f>
        <v/>
      </c>
      <c r="G16" t="str">
        <f t="shared" si="1"/>
        <v>0.001</v>
      </c>
      <c r="H16" t="str">
        <f>"1.820"</f>
        <v>1.820</v>
      </c>
      <c r="I16" t="str">
        <f>"  99                                                 "</f>
        <v xml:space="preserve">  99                                                 </v>
      </c>
      <c r="J16" t="str">
        <f>""</f>
        <v/>
      </c>
    </row>
    <row r="17" spans="1:10">
      <c r="A17" s="1" t="str">
        <f>"3d7.(4P).4s"</f>
        <v>3d7.(4P).4s</v>
      </c>
      <c r="B17" t="str">
        <f>"a 5P"</f>
        <v>a 5P</v>
      </c>
      <c r="C17" t="str">
        <f>"1"</f>
        <v>1</v>
      </c>
      <c r="D17" t="str">
        <f>""</f>
        <v/>
      </c>
      <c r="E17" t="str">
        <f>"17927.382"</f>
        <v>17927.382</v>
      </c>
      <c r="F17" t="str">
        <f>""</f>
        <v/>
      </c>
      <c r="G17" t="str">
        <f t="shared" si="1"/>
        <v>0.001</v>
      </c>
      <c r="H17" t="str">
        <f>"2.499"</f>
        <v>2.499</v>
      </c>
      <c r="I17" t="str">
        <f>"  99                                                 "</f>
        <v xml:space="preserve">  99                                                 </v>
      </c>
      <c r="J17" t="str">
        <f>""</f>
        <v/>
      </c>
    </row>
    <row r="18" spans="1:10">
      <c r="A18" s="1" t="str">
        <f>"3d6.4s2"</f>
        <v>3d6.4s2</v>
      </c>
      <c r="B18" t="str">
        <f>"a 3P2"</f>
        <v>a 3P2</v>
      </c>
      <c r="C18" t="str">
        <f>"2"</f>
        <v>2</v>
      </c>
      <c r="D18" t="str">
        <f>""</f>
        <v/>
      </c>
      <c r="E18" t="str">
        <f>"18378.186"</f>
        <v>18378.186</v>
      </c>
      <c r="F18" t="str">
        <f>""</f>
        <v/>
      </c>
      <c r="G18" t="str">
        <f t="shared" si="1"/>
        <v>0.001</v>
      </c>
      <c r="H18" t="str">
        <f>"1.506"</f>
        <v>1.506</v>
      </c>
      <c r="I18" t="str">
        <f>"  55             :    32  3d6.4s2               3P1  "</f>
        <v xml:space="preserve">  55             :    32  3d6.4s2               3P1  </v>
      </c>
      <c r="J18" t="str">
        <f>""</f>
        <v/>
      </c>
    </row>
    <row r="19" spans="1:10">
      <c r="A19" s="1" t="str">
        <f>"3d6.4s2"</f>
        <v>3d6.4s2</v>
      </c>
      <c r="B19" t="str">
        <f>"a 3P2"</f>
        <v>a 3P2</v>
      </c>
      <c r="C19" t="str">
        <f>"1"</f>
        <v>1</v>
      </c>
      <c r="D19" t="str">
        <f>""</f>
        <v/>
      </c>
      <c r="E19" t="str">
        <f>"19552.478"</f>
        <v>19552.478</v>
      </c>
      <c r="F19" t="str">
        <f>""</f>
        <v/>
      </c>
      <c r="G19" t="str">
        <f t="shared" si="1"/>
        <v>0.001</v>
      </c>
      <c r="H19" t="str">
        <f>"1.500"</f>
        <v>1.500</v>
      </c>
      <c r="I19" t="str">
        <f>"  55             :    32  3d6.4s2               3P1  "</f>
        <v xml:space="preserve">  55             :    32  3d6.4s2               3P1  </v>
      </c>
      <c r="J19" t="str">
        <f>""</f>
        <v/>
      </c>
    </row>
    <row r="20" spans="1:10">
      <c r="A20" s="1" t="str">
        <f>"3d6.4s2"</f>
        <v>3d6.4s2</v>
      </c>
      <c r="B20" t="str">
        <f>"a 3P2"</f>
        <v>a 3P2</v>
      </c>
      <c r="C20" t="str">
        <f>"0"</f>
        <v>0</v>
      </c>
      <c r="D20" t="str">
        <f>""</f>
        <v/>
      </c>
      <c r="E20" t="str">
        <f>"20037.816"</f>
        <v>20037.816</v>
      </c>
      <c r="F20" t="str">
        <f>""</f>
        <v/>
      </c>
      <c r="G20" t="str">
        <f>"0.002"</f>
        <v>0.002</v>
      </c>
      <c r="H20" t="str">
        <f>""</f>
        <v/>
      </c>
      <c r="I20" t="str">
        <f>"  55             :    32  3d6.4s2               3P1  "</f>
        <v xml:space="preserve">  55             :    32  3d6.4s2               3P1  </v>
      </c>
      <c r="J20" t="str">
        <f>""</f>
        <v/>
      </c>
    </row>
    <row r="21" spans="1:10">
      <c r="A21" s="1" t="str">
        <f>"3d6.(5D).4s.4p.(3P*)"</f>
        <v>3d6.(5D).4s.4p.(3P*)</v>
      </c>
      <c r="B21" t="str">
        <f>"z 7D*"</f>
        <v>z 7D*</v>
      </c>
      <c r="C21" t="str">
        <f>"5"</f>
        <v>5</v>
      </c>
      <c r="D21" t="str">
        <f>""</f>
        <v/>
      </c>
      <c r="E21" t="str">
        <f>"19350.891"</f>
        <v>19350.891</v>
      </c>
      <c r="F21" t="str">
        <f>""</f>
        <v/>
      </c>
      <c r="G21" t="str">
        <f t="shared" ref="G21:G40" si="3">"0.001"</f>
        <v>0.001</v>
      </c>
      <c r="H21" t="str">
        <f>"1.597"</f>
        <v>1.597</v>
      </c>
      <c r="I21" t="str">
        <f>"  99                                                 "</f>
        <v xml:space="preserve">  99                                                 </v>
      </c>
      <c r="J21" t="str">
        <f>""</f>
        <v/>
      </c>
    </row>
    <row r="22" spans="1:10">
      <c r="A22" s="1" t="str">
        <f>"3d6.(5D).4s.4p.(3P*)"</f>
        <v>3d6.(5D).4s.4p.(3P*)</v>
      </c>
      <c r="B22" t="str">
        <f>"z 7D*"</f>
        <v>z 7D*</v>
      </c>
      <c r="C22" t="str">
        <f>"4"</f>
        <v>4</v>
      </c>
      <c r="D22" t="str">
        <f>""</f>
        <v/>
      </c>
      <c r="E22" t="str">
        <f>"19562.439"</f>
        <v>19562.439</v>
      </c>
      <c r="F22" t="str">
        <f>""</f>
        <v/>
      </c>
      <c r="G22" t="str">
        <f t="shared" si="3"/>
        <v>0.001</v>
      </c>
      <c r="H22" t="str">
        <f>"1.642"</f>
        <v>1.642</v>
      </c>
      <c r="I22" t="str">
        <f>"  98                                                 "</f>
        <v xml:space="preserve">  98                                                 </v>
      </c>
      <c r="J22" t="str">
        <f>""</f>
        <v/>
      </c>
    </row>
    <row r="23" spans="1:10">
      <c r="A23" s="1" t="str">
        <f>"3d6.(5D).4s.4p.(3P*)"</f>
        <v>3d6.(5D).4s.4p.(3P*)</v>
      </c>
      <c r="B23" t="str">
        <f>"z 7D*"</f>
        <v>z 7D*</v>
      </c>
      <c r="C23" t="str">
        <f>"3"</f>
        <v>3</v>
      </c>
      <c r="D23" t="str">
        <f>""</f>
        <v/>
      </c>
      <c r="E23" t="str">
        <f>"19757.032"</f>
        <v>19757.032</v>
      </c>
      <c r="F23" t="str">
        <f>""</f>
        <v/>
      </c>
      <c r="G23" t="str">
        <f t="shared" si="3"/>
        <v>0.001</v>
      </c>
      <c r="H23" t="str">
        <f>"1.746"</f>
        <v>1.746</v>
      </c>
      <c r="I23" t="str">
        <f>"  99                                                 "</f>
        <v xml:space="preserve">  99                                                 </v>
      </c>
      <c r="J23" t="str">
        <f>""</f>
        <v/>
      </c>
    </row>
    <row r="24" spans="1:10">
      <c r="A24" s="1" t="str">
        <f>"3d6.(5D).4s.4p.(3P*)"</f>
        <v>3d6.(5D).4s.4p.(3P*)</v>
      </c>
      <c r="B24" t="str">
        <f>"z 7D*"</f>
        <v>z 7D*</v>
      </c>
      <c r="C24" t="str">
        <f>"2"</f>
        <v>2</v>
      </c>
      <c r="D24" t="str">
        <f>""</f>
        <v/>
      </c>
      <c r="E24" t="str">
        <f>"19912.495"</f>
        <v>19912.495</v>
      </c>
      <c r="F24" t="str">
        <f>""</f>
        <v/>
      </c>
      <c r="G24" t="str">
        <f t="shared" si="3"/>
        <v>0.001</v>
      </c>
      <c r="H24" t="str">
        <f>"2.008"</f>
        <v>2.008</v>
      </c>
      <c r="I24" t="str">
        <f>"  99                                                 "</f>
        <v xml:space="preserve">  99                                                 </v>
      </c>
      <c r="J24" t="str">
        <f>""</f>
        <v/>
      </c>
    </row>
    <row r="25" spans="1:10">
      <c r="A25" s="1" t="str">
        <f>"3d6.(5D).4s.4p.(3P*)"</f>
        <v>3d6.(5D).4s.4p.(3P*)</v>
      </c>
      <c r="B25" t="str">
        <f>"z 7D*"</f>
        <v>z 7D*</v>
      </c>
      <c r="C25" t="str">
        <f>"1"</f>
        <v>1</v>
      </c>
      <c r="D25" t="str">
        <f>""</f>
        <v/>
      </c>
      <c r="E25" t="str">
        <f>"20019.635"</f>
        <v>20019.635</v>
      </c>
      <c r="F25" t="str">
        <f>""</f>
        <v/>
      </c>
      <c r="G25" t="str">
        <f t="shared" si="3"/>
        <v>0.001</v>
      </c>
      <c r="H25" t="str">
        <f>"2.999"</f>
        <v>2.999</v>
      </c>
      <c r="I25" t="str">
        <f>" 100                                                 "</f>
        <v xml:space="preserve"> 100                                                 </v>
      </c>
      <c r="J25" t="str">
        <f>""</f>
        <v/>
      </c>
    </row>
    <row r="26" spans="1:10">
      <c r="A26" s="1" t="str">
        <f t="shared" ref="A26:A31" si="4">"3d6.4s2"</f>
        <v>3d6.4s2</v>
      </c>
      <c r="B26" t="str">
        <f>"a 3H"</f>
        <v>a 3H</v>
      </c>
      <c r="C26" t="str">
        <f>"6"</f>
        <v>6</v>
      </c>
      <c r="D26" t="str">
        <f>""</f>
        <v/>
      </c>
      <c r="E26" t="str">
        <f>"19390.168"</f>
        <v>19390.168</v>
      </c>
      <c r="F26" t="str">
        <f>""</f>
        <v/>
      </c>
      <c r="G26" t="str">
        <f t="shared" si="3"/>
        <v>0.001</v>
      </c>
      <c r="H26" t="str">
        <f>"1.163"</f>
        <v>1.163</v>
      </c>
      <c r="I26" t="str">
        <f>" 100                                                 "</f>
        <v xml:space="preserve"> 100                                                 </v>
      </c>
      <c r="J26" t="str">
        <f>""</f>
        <v/>
      </c>
    </row>
    <row r="27" spans="1:10">
      <c r="A27" s="1" t="str">
        <f t="shared" si="4"/>
        <v>3d6.4s2</v>
      </c>
      <c r="B27" t="str">
        <f>"a 3H"</f>
        <v>a 3H</v>
      </c>
      <c r="C27" t="str">
        <f>"5"</f>
        <v>5</v>
      </c>
      <c r="D27" t="str">
        <f>""</f>
        <v/>
      </c>
      <c r="E27" t="str">
        <f>"19621.006"</f>
        <v>19621.006</v>
      </c>
      <c r="F27" t="str">
        <f>""</f>
        <v/>
      </c>
      <c r="G27" t="str">
        <f t="shared" si="3"/>
        <v>0.001</v>
      </c>
      <c r="H27" t="str">
        <f>"1.038"</f>
        <v>1.038</v>
      </c>
      <c r="I27" t="str">
        <f>" 100                                                 "</f>
        <v xml:space="preserve"> 100                                                 </v>
      </c>
      <c r="J27" t="str">
        <f>""</f>
        <v/>
      </c>
    </row>
    <row r="28" spans="1:10">
      <c r="A28" s="1" t="str">
        <f t="shared" si="4"/>
        <v>3d6.4s2</v>
      </c>
      <c r="B28" t="str">
        <f>"a 3H"</f>
        <v>a 3H</v>
      </c>
      <c r="C28" t="str">
        <f>"4"</f>
        <v>4</v>
      </c>
      <c r="D28" t="str">
        <f>""</f>
        <v/>
      </c>
      <c r="E28" t="str">
        <f>"19788.251"</f>
        <v>19788.251</v>
      </c>
      <c r="F28" t="str">
        <f>""</f>
        <v/>
      </c>
      <c r="G28" t="str">
        <f t="shared" si="3"/>
        <v>0.001</v>
      </c>
      <c r="H28" t="str">
        <f>"0.811"</f>
        <v>0.811</v>
      </c>
      <c r="I28" t="str">
        <f>" 100                                                 "</f>
        <v xml:space="preserve"> 100                                                 </v>
      </c>
      <c r="J28" t="str">
        <f>""</f>
        <v/>
      </c>
    </row>
    <row r="29" spans="1:10">
      <c r="A29" s="1" t="str">
        <f t="shared" si="4"/>
        <v>3d6.4s2</v>
      </c>
      <c r="B29" t="str">
        <f>"b 3F2"</f>
        <v>b 3F2</v>
      </c>
      <c r="C29" t="str">
        <f>"4"</f>
        <v>4</v>
      </c>
      <c r="D29" t="str">
        <f>""</f>
        <v/>
      </c>
      <c r="E29" t="str">
        <f>"20641.110"</f>
        <v>20641.110</v>
      </c>
      <c r="F29" t="str">
        <f>""</f>
        <v/>
      </c>
      <c r="G29" t="str">
        <f t="shared" si="3"/>
        <v>0.001</v>
      </c>
      <c r="H29" t="str">
        <f>"1.235"</f>
        <v>1.235</v>
      </c>
      <c r="I29" t="str">
        <f>"  71             :    21  3d6.4s2               3F1  "</f>
        <v xml:space="preserve">  71             :    21  3d6.4s2               3F1  </v>
      </c>
      <c r="J29" t="str">
        <f>""</f>
        <v/>
      </c>
    </row>
    <row r="30" spans="1:10">
      <c r="A30" s="1" t="str">
        <f t="shared" si="4"/>
        <v>3d6.4s2</v>
      </c>
      <c r="B30" t="str">
        <f>"b 3F2"</f>
        <v>b 3F2</v>
      </c>
      <c r="C30" t="str">
        <f>"3"</f>
        <v>3</v>
      </c>
      <c r="D30" t="str">
        <f>""</f>
        <v/>
      </c>
      <c r="E30" t="str">
        <f>"20874.482"</f>
        <v>20874.482</v>
      </c>
      <c r="F30" t="str">
        <f>""</f>
        <v/>
      </c>
      <c r="G30" t="str">
        <f t="shared" si="3"/>
        <v>0.001</v>
      </c>
      <c r="H30" t="str">
        <f>"1.073"</f>
        <v>1.073</v>
      </c>
      <c r="I30" t="str">
        <f>"  71             :    21  3d6.4s2               3F1  "</f>
        <v xml:space="preserve">  71             :    21  3d6.4s2               3F1  </v>
      </c>
      <c r="J30" t="str">
        <f>""</f>
        <v/>
      </c>
    </row>
    <row r="31" spans="1:10">
      <c r="A31" s="1" t="str">
        <f t="shared" si="4"/>
        <v>3d6.4s2</v>
      </c>
      <c r="B31" t="str">
        <f>"b 3F2"</f>
        <v>b 3F2</v>
      </c>
      <c r="C31" t="str">
        <f>"2"</f>
        <v>2</v>
      </c>
      <c r="D31" t="str">
        <f>""</f>
        <v/>
      </c>
      <c r="E31" t="str">
        <f>"21038.987"</f>
        <v>21038.987</v>
      </c>
      <c r="F31" t="str">
        <f>""</f>
        <v/>
      </c>
      <c r="G31" t="str">
        <f t="shared" si="3"/>
        <v>0.001</v>
      </c>
      <c r="H31" t="str">
        <f>"0.663"</f>
        <v>0.663</v>
      </c>
      <c r="I31" t="str">
        <f>"  71             :    21  3d6.4s2               3F1  "</f>
        <v xml:space="preserve">  71             :    21  3d6.4s2               3F1  </v>
      </c>
      <c r="J31" t="str">
        <f>""</f>
        <v/>
      </c>
    </row>
    <row r="32" spans="1:10">
      <c r="A32" s="1" t="str">
        <f>"3d7.(2G).4s"</f>
        <v>3d7.(2G).4s</v>
      </c>
      <c r="B32" t="str">
        <f>"a 3G"</f>
        <v>a 3G</v>
      </c>
      <c r="C32" t="str">
        <f>"5"</f>
        <v>5</v>
      </c>
      <c r="D32" t="str">
        <f>""</f>
        <v/>
      </c>
      <c r="E32" t="str">
        <f>"21715.732"</f>
        <v>21715.732</v>
      </c>
      <c r="F32" t="str">
        <f>""</f>
        <v/>
      </c>
      <c r="G32" t="str">
        <f t="shared" si="3"/>
        <v>0.001</v>
      </c>
      <c r="H32" t="str">
        <f>"1.197"</f>
        <v>1.197</v>
      </c>
      <c r="I32" t="str">
        <f>"  88             :    10  3d6.4s2               3G   "</f>
        <v xml:space="preserve">  88             :    10  3d6.4s2               3G   </v>
      </c>
      <c r="J32" t="str">
        <f>""</f>
        <v/>
      </c>
    </row>
    <row r="33" spans="1:10">
      <c r="A33" s="1" t="str">
        <f>"3d7.(2G).4s"</f>
        <v>3d7.(2G).4s</v>
      </c>
      <c r="B33" t="str">
        <f>"a 3G"</f>
        <v>a 3G</v>
      </c>
      <c r="C33" t="str">
        <f>"4"</f>
        <v>4</v>
      </c>
      <c r="D33" t="str">
        <f>""</f>
        <v/>
      </c>
      <c r="E33" t="str">
        <f>"21999.130"</f>
        <v>21999.130</v>
      </c>
      <c r="F33" t="str">
        <f>""</f>
        <v/>
      </c>
      <c r="G33" t="str">
        <f t="shared" si="3"/>
        <v>0.001</v>
      </c>
      <c r="H33" t="str">
        <f>"1.051"</f>
        <v>1.051</v>
      </c>
      <c r="I33" t="str">
        <f>"  88             :    10  3d6.4s2               3G   "</f>
        <v xml:space="preserve">  88             :    10  3d6.4s2               3G   </v>
      </c>
      <c r="J33" t="str">
        <f>""</f>
        <v/>
      </c>
    </row>
    <row r="34" spans="1:10">
      <c r="A34" s="1" t="str">
        <f>"3d7.(2G).4s"</f>
        <v>3d7.(2G).4s</v>
      </c>
      <c r="B34" t="str">
        <f>"a 3G"</f>
        <v>a 3G</v>
      </c>
      <c r="C34" t="str">
        <f>"3"</f>
        <v>3</v>
      </c>
      <c r="D34" t="str">
        <f>""</f>
        <v/>
      </c>
      <c r="E34" t="str">
        <f>"22249.429"</f>
        <v>22249.429</v>
      </c>
      <c r="F34" t="str">
        <f>""</f>
        <v/>
      </c>
      <c r="G34" t="str">
        <f t="shared" si="3"/>
        <v>0.001</v>
      </c>
      <c r="H34" t="str">
        <f>"0.756"</f>
        <v>0.756</v>
      </c>
      <c r="I34" t="str">
        <f>"  88             :    10  3d6.4s2               3G   "</f>
        <v xml:space="preserve">  88             :    10  3d6.4s2               3G   </v>
      </c>
      <c r="J34" t="str">
        <f>""</f>
        <v/>
      </c>
    </row>
    <row r="35" spans="1:10">
      <c r="A35" s="1" t="str">
        <f t="shared" ref="A35:A41" si="5">"3d6.(5D).4s.4p.(3P*)"</f>
        <v>3d6.(5D).4s.4p.(3P*)</v>
      </c>
      <c r="B35" t="str">
        <f t="shared" ref="B35:B41" si="6">"z 7F*"</f>
        <v>z 7F*</v>
      </c>
      <c r="C35" t="str">
        <f>"6"</f>
        <v>6</v>
      </c>
      <c r="D35" t="str">
        <f>""</f>
        <v/>
      </c>
      <c r="E35" t="str">
        <f>"22650.416"</f>
        <v>22650.416</v>
      </c>
      <c r="F35" t="str">
        <f>""</f>
        <v/>
      </c>
      <c r="G35" t="str">
        <f t="shared" si="3"/>
        <v>0.001</v>
      </c>
      <c r="H35" t="str">
        <f>"1.498"</f>
        <v>1.498</v>
      </c>
      <c r="I35" t="str">
        <f>" 100                                                 "</f>
        <v xml:space="preserve"> 100                                                 </v>
      </c>
      <c r="J35" t="str">
        <f>""</f>
        <v/>
      </c>
    </row>
    <row r="36" spans="1:10">
      <c r="A36" s="1" t="str">
        <f t="shared" si="5"/>
        <v>3d6.(5D).4s.4p.(3P*)</v>
      </c>
      <c r="B36" t="str">
        <f t="shared" si="6"/>
        <v>z 7F*</v>
      </c>
      <c r="C36" t="str">
        <f>"5"</f>
        <v>5</v>
      </c>
      <c r="D36" t="str">
        <f>""</f>
        <v/>
      </c>
      <c r="E36" t="str">
        <f>"22845.869"</f>
        <v>22845.869</v>
      </c>
      <c r="F36" t="str">
        <f>""</f>
        <v/>
      </c>
      <c r="G36" t="str">
        <f t="shared" si="3"/>
        <v>0.001</v>
      </c>
      <c r="H36" t="str">
        <f>"1.498"</f>
        <v>1.498</v>
      </c>
      <c r="I36" t="str">
        <f>"  99                                                 "</f>
        <v xml:space="preserve">  99                                                 </v>
      </c>
      <c r="J36" t="str">
        <f>""</f>
        <v/>
      </c>
    </row>
    <row r="37" spans="1:10">
      <c r="A37" s="1" t="str">
        <f t="shared" si="5"/>
        <v>3d6.(5D).4s.4p.(3P*)</v>
      </c>
      <c r="B37" t="str">
        <f t="shared" si="6"/>
        <v>z 7F*</v>
      </c>
      <c r="C37" t="str">
        <f>"4"</f>
        <v>4</v>
      </c>
      <c r="D37" t="str">
        <f>""</f>
        <v/>
      </c>
      <c r="E37" t="str">
        <f>"22996.674"</f>
        <v>22996.674</v>
      </c>
      <c r="F37" t="str">
        <f>""</f>
        <v/>
      </c>
      <c r="G37" t="str">
        <f t="shared" si="3"/>
        <v>0.001</v>
      </c>
      <c r="H37" t="str">
        <f>"1.493"</f>
        <v>1.493</v>
      </c>
      <c r="I37" t="str">
        <f>"  99                                                 "</f>
        <v xml:space="preserve">  99                                                 </v>
      </c>
      <c r="J37" t="str">
        <f>""</f>
        <v/>
      </c>
    </row>
    <row r="38" spans="1:10">
      <c r="A38" s="1" t="str">
        <f t="shared" si="5"/>
        <v>3d6.(5D).4s.4p.(3P*)</v>
      </c>
      <c r="B38" t="str">
        <f t="shared" si="6"/>
        <v>z 7F*</v>
      </c>
      <c r="C38" t="str">
        <f>"3"</f>
        <v>3</v>
      </c>
      <c r="D38" t="str">
        <f>""</f>
        <v/>
      </c>
      <c r="E38" t="str">
        <f>"23110.939"</f>
        <v>23110.939</v>
      </c>
      <c r="F38" t="str">
        <f>""</f>
        <v/>
      </c>
      <c r="G38" t="str">
        <f t="shared" si="3"/>
        <v>0.001</v>
      </c>
      <c r="H38" t="str">
        <f>"1.513"</f>
        <v>1.513</v>
      </c>
      <c r="I38" t="str">
        <f>"  99                                                 "</f>
        <v xml:space="preserve">  99                                                 </v>
      </c>
      <c r="J38" t="str">
        <f>""</f>
        <v/>
      </c>
    </row>
    <row r="39" spans="1:10">
      <c r="A39" s="1" t="str">
        <f t="shared" si="5"/>
        <v>3d6.(5D).4s.4p.(3P*)</v>
      </c>
      <c r="B39" t="str">
        <f t="shared" si="6"/>
        <v>z 7F*</v>
      </c>
      <c r="C39" t="str">
        <f>"2"</f>
        <v>2</v>
      </c>
      <c r="D39" t="str">
        <f>""</f>
        <v/>
      </c>
      <c r="E39" t="str">
        <f>"23192.500"</f>
        <v>23192.500</v>
      </c>
      <c r="F39" t="str">
        <f>""</f>
        <v/>
      </c>
      <c r="G39" t="str">
        <f t="shared" si="3"/>
        <v>0.001</v>
      </c>
      <c r="H39" t="str">
        <f>"1.504"</f>
        <v>1.504</v>
      </c>
      <c r="I39" t="str">
        <f>"  99                                                 "</f>
        <v xml:space="preserve">  99                                                 </v>
      </c>
      <c r="J39" t="str">
        <f>""</f>
        <v/>
      </c>
    </row>
    <row r="40" spans="1:10">
      <c r="A40" s="1" t="str">
        <f t="shared" si="5"/>
        <v>3d6.(5D).4s.4p.(3P*)</v>
      </c>
      <c r="B40" t="str">
        <f t="shared" si="6"/>
        <v>z 7F*</v>
      </c>
      <c r="C40" t="str">
        <f>"1"</f>
        <v>1</v>
      </c>
      <c r="D40" t="str">
        <f>""</f>
        <v/>
      </c>
      <c r="E40" t="str">
        <f>"23244.838"</f>
        <v>23244.838</v>
      </c>
      <c r="F40" t="str">
        <f>""</f>
        <v/>
      </c>
      <c r="G40" t="str">
        <f t="shared" si="3"/>
        <v>0.001</v>
      </c>
      <c r="H40" t="str">
        <f>"1.549"</f>
        <v>1.549</v>
      </c>
      <c r="I40" t="str">
        <f>" 100                                                 "</f>
        <v xml:space="preserve"> 100                                                 </v>
      </c>
      <c r="J40" t="str">
        <f>""</f>
        <v/>
      </c>
    </row>
    <row r="41" spans="1:10">
      <c r="A41" s="1" t="str">
        <f t="shared" si="5"/>
        <v>3d6.(5D).4s.4p.(3P*)</v>
      </c>
      <c r="B41" t="str">
        <f t="shared" si="6"/>
        <v>z 7F*</v>
      </c>
      <c r="C41" t="str">
        <f>"0"</f>
        <v>0</v>
      </c>
      <c r="D41" t="str">
        <f>""</f>
        <v/>
      </c>
      <c r="E41" t="str">
        <f>"23270.384"</f>
        <v>23270.384</v>
      </c>
      <c r="F41" t="str">
        <f>""</f>
        <v/>
      </c>
      <c r="G41" t="str">
        <f>"0.002"</f>
        <v>0.002</v>
      </c>
      <c r="H41" t="str">
        <f>""</f>
        <v/>
      </c>
      <c r="I41" t="str">
        <f>" 100                                                 "</f>
        <v xml:space="preserve"> 100                                                 </v>
      </c>
      <c r="J41" t="str">
        <f>""</f>
        <v/>
      </c>
    </row>
    <row r="42" spans="1:10">
      <c r="A42" s="1" t="str">
        <f>"3d7.(4P).4s"</f>
        <v>3d7.(4P).4s</v>
      </c>
      <c r="B42" t="str">
        <f>"b 3P"</f>
        <v>b 3P</v>
      </c>
      <c r="C42" t="str">
        <f>"2"</f>
        <v>2</v>
      </c>
      <c r="D42" t="str">
        <f>""</f>
        <v/>
      </c>
      <c r="E42" t="str">
        <f>"22838.323"</f>
        <v>22838.323</v>
      </c>
      <c r="F42" t="str">
        <f>""</f>
        <v/>
      </c>
      <c r="G42" t="str">
        <f t="shared" ref="G42:G52" si="7">"0.001"</f>
        <v>0.001</v>
      </c>
      <c r="H42" t="str">
        <f>"1.498"</f>
        <v>1.498</v>
      </c>
      <c r="I42" t="str">
        <f>"  92             :     4  3d6.4s2               3P1  "</f>
        <v xml:space="preserve">  92             :     4  3d6.4s2               3P1  </v>
      </c>
      <c r="J42" t="str">
        <f>""</f>
        <v/>
      </c>
    </row>
    <row r="43" spans="1:10">
      <c r="A43" s="1" t="str">
        <f>"3d7.(4P).4s"</f>
        <v>3d7.(4P).4s</v>
      </c>
      <c r="B43" t="str">
        <f>"b 3P"</f>
        <v>b 3P</v>
      </c>
      <c r="C43" t="str">
        <f>"1"</f>
        <v>1</v>
      </c>
      <c r="D43" t="str">
        <f>""</f>
        <v/>
      </c>
      <c r="E43" t="str">
        <f>"22946.816"</f>
        <v>22946.816</v>
      </c>
      <c r="F43" t="str">
        <f>""</f>
        <v/>
      </c>
      <c r="G43" t="str">
        <f t="shared" si="7"/>
        <v>0.001</v>
      </c>
      <c r="H43" t="str">
        <f>"1.489"</f>
        <v>1.489</v>
      </c>
      <c r="I43" t="str">
        <f>"  79             :    10  3d7.(2P).4s           3P   "</f>
        <v xml:space="preserve">  79             :    10  3d7.(2P).4s           3P   </v>
      </c>
      <c r="J43" t="str">
        <f>""</f>
        <v/>
      </c>
    </row>
    <row r="44" spans="1:10">
      <c r="A44" s="1" t="str">
        <f>"3d7.(4P).4s"</f>
        <v>3d7.(4P).4s</v>
      </c>
      <c r="B44" t="str">
        <f>"b 3P"</f>
        <v>b 3P</v>
      </c>
      <c r="C44" t="str">
        <f>"0"</f>
        <v>0</v>
      </c>
      <c r="D44" t="str">
        <f>""</f>
        <v/>
      </c>
      <c r="E44" t="str">
        <f>"23051.750"</f>
        <v>23051.750</v>
      </c>
      <c r="F44" t="str">
        <f>""</f>
        <v/>
      </c>
      <c r="G44" t="str">
        <f t="shared" si="7"/>
        <v>0.001</v>
      </c>
      <c r="H44" t="str">
        <f>""</f>
        <v/>
      </c>
      <c r="I44" t="str">
        <f>"  79             :    12  3d7.(2P).4s           3P   "</f>
        <v xml:space="preserve">  79             :    12  3d7.(2P).4s           3P   </v>
      </c>
      <c r="J44" t="str">
        <f>""</f>
        <v/>
      </c>
    </row>
    <row r="45" spans="1:10">
      <c r="A45" s="1" t="str">
        <f>"3d6.(5D).4s.4p.(3P*)"</f>
        <v>3d6.(5D).4s.4p.(3P*)</v>
      </c>
      <c r="B45" t="str">
        <f>"z 7P*"</f>
        <v>z 7P*</v>
      </c>
      <c r="C45" t="str">
        <f>"4"</f>
        <v>4</v>
      </c>
      <c r="D45" t="str">
        <f>""</f>
        <v/>
      </c>
      <c r="E45" t="str">
        <f>"23711.456"</f>
        <v>23711.456</v>
      </c>
      <c r="F45" t="str">
        <f>""</f>
        <v/>
      </c>
      <c r="G45" t="str">
        <f t="shared" si="7"/>
        <v>0.001</v>
      </c>
      <c r="H45" t="str">
        <f>"1.747"</f>
        <v>1.747</v>
      </c>
      <c r="I45" t="str">
        <f>"  98                                                 "</f>
        <v xml:space="preserve">  98                                                 </v>
      </c>
      <c r="J45" t="str">
        <f>""</f>
        <v/>
      </c>
    </row>
    <row r="46" spans="1:10">
      <c r="A46" s="1" t="str">
        <f>"3d6.(5D).4s.4p.(3P*)"</f>
        <v>3d6.(5D).4s.4p.(3P*)</v>
      </c>
      <c r="B46" t="str">
        <f>"z 7P*"</f>
        <v>z 7P*</v>
      </c>
      <c r="C46" t="str">
        <f>"3"</f>
        <v>3</v>
      </c>
      <c r="D46" t="str">
        <f>""</f>
        <v/>
      </c>
      <c r="E46" t="str">
        <f>"24180.862"</f>
        <v>24180.862</v>
      </c>
      <c r="F46" t="str">
        <f>""</f>
        <v/>
      </c>
      <c r="G46" t="str">
        <f t="shared" si="7"/>
        <v>0.001</v>
      </c>
      <c r="H46" t="str">
        <f>"1.908"</f>
        <v>1.908</v>
      </c>
      <c r="I46" t="str">
        <f>"  99                                                 "</f>
        <v xml:space="preserve">  99                                                 </v>
      </c>
      <c r="J46" t="str">
        <f>""</f>
        <v/>
      </c>
    </row>
    <row r="47" spans="1:10">
      <c r="A47" s="1" t="str">
        <f>"3d6.(5D).4s.4p.(3P*)"</f>
        <v>3d6.(5D).4s.4p.(3P*)</v>
      </c>
      <c r="B47" t="str">
        <f>"z 7P*"</f>
        <v>z 7P*</v>
      </c>
      <c r="C47" t="str">
        <f>"2"</f>
        <v>2</v>
      </c>
      <c r="D47" t="str">
        <f>""</f>
        <v/>
      </c>
      <c r="E47" t="str">
        <f>"24506.917"</f>
        <v>24506.917</v>
      </c>
      <c r="F47" t="str">
        <f>""</f>
        <v/>
      </c>
      <c r="G47" t="str">
        <f t="shared" si="7"/>
        <v>0.001</v>
      </c>
      <c r="H47" t="str">
        <f>"2.333"</f>
        <v>2.333</v>
      </c>
      <c r="I47" t="str">
        <f>"  98                                                 "</f>
        <v xml:space="preserve">  98                                                 </v>
      </c>
      <c r="J47" t="str">
        <f>""</f>
        <v/>
      </c>
    </row>
    <row r="48" spans="1:10">
      <c r="A48" s="1" t="str">
        <f>"3d6.4s2"</f>
        <v>3d6.4s2</v>
      </c>
      <c r="B48" t="str">
        <f>"b 3G"</f>
        <v>b 3G</v>
      </c>
      <c r="C48" t="str">
        <f>"5"</f>
        <v>5</v>
      </c>
      <c r="D48" t="str">
        <f>""</f>
        <v/>
      </c>
      <c r="E48" t="str">
        <f>"23783.619"</f>
        <v>23783.619</v>
      </c>
      <c r="F48" t="str">
        <f>""</f>
        <v/>
      </c>
      <c r="G48" t="str">
        <f t="shared" si="7"/>
        <v>0.001</v>
      </c>
      <c r="H48" t="str">
        <f>"1.200"</f>
        <v>1.200</v>
      </c>
      <c r="I48" t="str">
        <f>"  88             :    10  3d7.(2G).4s           3G   "</f>
        <v xml:space="preserve">  88             :    10  3d7.(2G).4s           3G   </v>
      </c>
      <c r="J48" t="str">
        <f>""</f>
        <v/>
      </c>
    </row>
    <row r="49" spans="1:10">
      <c r="A49" s="1" t="str">
        <f>"3d6.4s2"</f>
        <v>3d6.4s2</v>
      </c>
      <c r="B49" t="str">
        <f>"b 3G"</f>
        <v>b 3G</v>
      </c>
      <c r="C49" t="str">
        <f>"4"</f>
        <v>4</v>
      </c>
      <c r="D49" t="str">
        <f>""</f>
        <v/>
      </c>
      <c r="E49" t="str">
        <f>"24118.819"</f>
        <v>24118.819</v>
      </c>
      <c r="F49" t="str">
        <f>""</f>
        <v/>
      </c>
      <c r="G49" t="str">
        <f t="shared" si="7"/>
        <v>0.001</v>
      </c>
      <c r="H49" t="str">
        <f>"1.048"</f>
        <v>1.048</v>
      </c>
      <c r="I49" t="str">
        <f>"  88             :    10  3d7.(2G).4s           3G   "</f>
        <v xml:space="preserve">  88             :    10  3d7.(2G).4s           3G   </v>
      </c>
      <c r="J49" t="str">
        <f>""</f>
        <v/>
      </c>
    </row>
    <row r="50" spans="1:10">
      <c r="A50" s="1" t="str">
        <f>"3d6.4s2"</f>
        <v>3d6.4s2</v>
      </c>
      <c r="B50" t="str">
        <f>"b 3G"</f>
        <v>b 3G</v>
      </c>
      <c r="C50" t="str">
        <f>"3"</f>
        <v>3</v>
      </c>
      <c r="D50" t="str">
        <f>""</f>
        <v/>
      </c>
      <c r="E50" t="str">
        <f>"24338.767"</f>
        <v>24338.767</v>
      </c>
      <c r="F50" t="str">
        <f>""</f>
        <v/>
      </c>
      <c r="G50" t="str">
        <f t="shared" si="7"/>
        <v>0.001</v>
      </c>
      <c r="H50" t="str">
        <f>"0.761"</f>
        <v>0.761</v>
      </c>
      <c r="I50" t="str">
        <f>"  88             :    10  3d7.(2G).4s           3G   "</f>
        <v xml:space="preserve">  88             :    10  3d7.(2G).4s           3G   </v>
      </c>
      <c r="J50" t="str">
        <f>""</f>
        <v/>
      </c>
    </row>
    <row r="51" spans="1:10">
      <c r="A51" s="1" t="str">
        <f>"3d7.(2P).4s"</f>
        <v>3d7.(2P).4s</v>
      </c>
      <c r="B51" t="str">
        <f>"c 3P"</f>
        <v>c 3P</v>
      </c>
      <c r="C51" t="str">
        <f>"2"</f>
        <v>2</v>
      </c>
      <c r="D51" t="str">
        <f>""</f>
        <v/>
      </c>
      <c r="E51" t="str">
        <f>"24335.766"</f>
        <v>24335.766</v>
      </c>
      <c r="F51" t="str">
        <f>""</f>
        <v/>
      </c>
      <c r="G51" t="str">
        <f t="shared" si="7"/>
        <v>0.001</v>
      </c>
      <c r="H51" t="str">
        <f>"1.484"</f>
        <v>1.484</v>
      </c>
      <c r="I51" t="str">
        <f>"  90             :     4  3d7.(2D2).4s          3D   "</f>
        <v xml:space="preserve">  90             :     4  3d7.(2D2).4s          3D   </v>
      </c>
      <c r="J51" t="str">
        <f>""</f>
        <v/>
      </c>
    </row>
    <row r="52" spans="1:10">
      <c r="A52" s="1" t="str">
        <f>"3d7.(2P).4s"</f>
        <v>3d7.(2P).4s</v>
      </c>
      <c r="B52" t="str">
        <f>"c 3P"</f>
        <v>c 3P</v>
      </c>
      <c r="C52" t="str">
        <f>"1"</f>
        <v>1</v>
      </c>
      <c r="D52" t="str">
        <f>""</f>
        <v/>
      </c>
      <c r="E52" t="str">
        <f>"24772.018"</f>
        <v>24772.018</v>
      </c>
      <c r="F52" t="str">
        <f>""</f>
        <v/>
      </c>
      <c r="G52" t="str">
        <f t="shared" si="7"/>
        <v>0.001</v>
      </c>
      <c r="H52" t="str">
        <f>"1.466"</f>
        <v>1.466</v>
      </c>
      <c r="I52" t="str">
        <f>"  81             :     7  3d7.(4P).4s           3P   "</f>
        <v xml:space="preserve">  81             :     7  3d7.(4P).4s           3P   </v>
      </c>
      <c r="J52" t="str">
        <f>""</f>
        <v/>
      </c>
    </row>
    <row r="53" spans="1:10">
      <c r="A53" s="1" t="str">
        <f>"3d7.(2P).4s"</f>
        <v>3d7.(2P).4s</v>
      </c>
      <c r="B53" t="str">
        <f>"c 3P"</f>
        <v>c 3P</v>
      </c>
      <c r="C53" t="str">
        <f>"0"</f>
        <v>0</v>
      </c>
      <c r="D53" t="str">
        <f>""</f>
        <v/>
      </c>
      <c r="E53" t="str">
        <f>"25091.599"</f>
        <v>25091.599</v>
      </c>
      <c r="F53" t="str">
        <f>""</f>
        <v/>
      </c>
      <c r="G53" t="str">
        <f>"0.002"</f>
        <v>0.002</v>
      </c>
      <c r="H53" t="str">
        <f>""</f>
        <v/>
      </c>
      <c r="I53" t="str">
        <f>"  79             :    12  3d7.(4P).4s           3P   "</f>
        <v xml:space="preserve">  79             :    12  3d7.(4P).4s           3P   </v>
      </c>
      <c r="J53" t="str">
        <f>""</f>
        <v/>
      </c>
    </row>
    <row r="54" spans="1:10">
      <c r="A54" s="1" t="str">
        <f>"3d7.(2G).4s"</f>
        <v>3d7.(2G).4s</v>
      </c>
      <c r="B54" t="str">
        <f>"a 1G"</f>
        <v>a 1G</v>
      </c>
      <c r="C54" t="str">
        <f>"4"</f>
        <v>4</v>
      </c>
      <c r="D54" t="str">
        <f>""</f>
        <v/>
      </c>
      <c r="E54" t="str">
        <f>"24574.655"</f>
        <v>24574.655</v>
      </c>
      <c r="F54" t="str">
        <f>""</f>
        <v/>
      </c>
      <c r="G54" t="str">
        <f t="shared" ref="G54:G85" si="8">"0.001"</f>
        <v>0.001</v>
      </c>
      <c r="H54" t="str">
        <f>"1.001"</f>
        <v>1.001</v>
      </c>
      <c r="I54" t="str">
        <f>"  90             :     3  3d7.(2H).4s           3H   "</f>
        <v xml:space="preserve">  90             :     3  3d7.(2H).4s           3H   </v>
      </c>
      <c r="J54" t="str">
        <f>""</f>
        <v/>
      </c>
    </row>
    <row r="55" spans="1:10">
      <c r="A55" s="1" t="str">
        <f>"3d6.(5D).4s.4p.(3P*)"</f>
        <v>3d6.(5D).4s.4p.(3P*)</v>
      </c>
      <c r="B55" t="str">
        <f>"z 5D*"</f>
        <v>z 5D*</v>
      </c>
      <c r="C55" t="str">
        <f>"4"</f>
        <v>4</v>
      </c>
      <c r="D55" t="str">
        <f>""</f>
        <v/>
      </c>
      <c r="E55" t="str">
        <f>"25899.989"</f>
        <v>25899.989</v>
      </c>
      <c r="F55" t="str">
        <f>""</f>
        <v/>
      </c>
      <c r="G55" t="str">
        <f t="shared" si="8"/>
        <v>0.001</v>
      </c>
      <c r="H55" t="str">
        <f>"1.502"</f>
        <v>1.502</v>
      </c>
      <c r="I55" t="str">
        <f>"  91             :     6  3d7.(4F).4p           5D*  "</f>
        <v xml:space="preserve">  91             :     6  3d7.(4F).4p           5D*  </v>
      </c>
      <c r="J55" t="str">
        <f>""</f>
        <v/>
      </c>
    </row>
    <row r="56" spans="1:10">
      <c r="A56" s="1" t="str">
        <f>"3d6.(5D).4s.4p.(3P*)"</f>
        <v>3d6.(5D).4s.4p.(3P*)</v>
      </c>
      <c r="B56" t="str">
        <f>"z 5D*"</f>
        <v>z 5D*</v>
      </c>
      <c r="C56" t="str">
        <f>"3"</f>
        <v>3</v>
      </c>
      <c r="D56" t="str">
        <f>""</f>
        <v/>
      </c>
      <c r="E56" t="str">
        <f>"26140.179"</f>
        <v>26140.179</v>
      </c>
      <c r="F56" t="str">
        <f>""</f>
        <v/>
      </c>
      <c r="G56" t="str">
        <f t="shared" si="8"/>
        <v>0.001</v>
      </c>
      <c r="H56" t="str">
        <f>"1.500"</f>
        <v>1.500</v>
      </c>
      <c r="I56" t="str">
        <f>"  91             :     6  3d7.(4F).4p           5D*  "</f>
        <v xml:space="preserve">  91             :     6  3d7.(4F).4p           5D*  </v>
      </c>
      <c r="J56" t="str">
        <f>""</f>
        <v/>
      </c>
    </row>
    <row r="57" spans="1:10">
      <c r="A57" s="1" t="str">
        <f>"3d6.(5D).4s.4p.(3P*)"</f>
        <v>3d6.(5D).4s.4p.(3P*)</v>
      </c>
      <c r="B57" t="str">
        <f>"z 5D*"</f>
        <v>z 5D*</v>
      </c>
      <c r="C57" t="str">
        <f>"2"</f>
        <v>2</v>
      </c>
      <c r="D57" t="str">
        <f>""</f>
        <v/>
      </c>
      <c r="E57" t="str">
        <f>"26339.696"</f>
        <v>26339.696</v>
      </c>
      <c r="F57" t="str">
        <f>""</f>
        <v/>
      </c>
      <c r="G57" t="str">
        <f t="shared" si="8"/>
        <v>0.001</v>
      </c>
      <c r="H57" t="str">
        <f>"1.503"</f>
        <v>1.503</v>
      </c>
      <c r="I57" t="str">
        <f>"  92             :     6  3d7.(4F).4p           5D*  "</f>
        <v xml:space="preserve">  92             :     6  3d7.(4F).4p           5D*  </v>
      </c>
      <c r="J57" t="str">
        <f>""</f>
        <v/>
      </c>
    </row>
    <row r="58" spans="1:10">
      <c r="A58" s="1" t="str">
        <f>"3d6.(5D).4s.4p.(3P*)"</f>
        <v>3d6.(5D).4s.4p.(3P*)</v>
      </c>
      <c r="B58" t="str">
        <f>"z 5D*"</f>
        <v>z 5D*</v>
      </c>
      <c r="C58" t="str">
        <f>"1"</f>
        <v>1</v>
      </c>
      <c r="D58" t="str">
        <f>""</f>
        <v/>
      </c>
      <c r="E58" t="str">
        <f>"26479.381"</f>
        <v>26479.381</v>
      </c>
      <c r="F58" t="str">
        <f>""</f>
        <v/>
      </c>
      <c r="G58" t="str">
        <f t="shared" si="8"/>
        <v>0.001</v>
      </c>
      <c r="H58" t="str">
        <f>"1.495"</f>
        <v>1.495</v>
      </c>
      <c r="I58" t="str">
        <f>"  92             :     6  3d7.(4F).4p           5D*  "</f>
        <v xml:space="preserve">  92             :     6  3d7.(4F).4p           5D*  </v>
      </c>
      <c r="J58" t="str">
        <f>""</f>
        <v/>
      </c>
    </row>
    <row r="59" spans="1:10">
      <c r="A59" s="1" t="str">
        <f>"3d6.(5D).4s.4p.(3P*)"</f>
        <v>3d6.(5D).4s.4p.(3P*)</v>
      </c>
      <c r="B59" t="str">
        <f>"z 5D*"</f>
        <v>z 5D*</v>
      </c>
      <c r="C59" t="str">
        <f>"0"</f>
        <v>0</v>
      </c>
      <c r="D59" t="str">
        <f>""</f>
        <v/>
      </c>
      <c r="E59" t="str">
        <f>"26550.479"</f>
        <v>26550.479</v>
      </c>
      <c r="F59" t="str">
        <f>""</f>
        <v/>
      </c>
      <c r="G59" t="str">
        <f t="shared" si="8"/>
        <v>0.001</v>
      </c>
      <c r="H59" t="str">
        <f>""</f>
        <v/>
      </c>
      <c r="I59" t="str">
        <f>"  93             :     5  3d7.(4F).4p           5D*  "</f>
        <v xml:space="preserve">  93             :     5  3d7.(4F).4p           5D*  </v>
      </c>
      <c r="J59" t="str">
        <f>""</f>
        <v/>
      </c>
    </row>
    <row r="60" spans="1:10">
      <c r="A60" s="1" t="str">
        <f>"3d7.(2H).4s"</f>
        <v>3d7.(2H).4s</v>
      </c>
      <c r="B60" t="str">
        <f>"b 3H"</f>
        <v>b 3H</v>
      </c>
      <c r="C60" t="str">
        <f>"6"</f>
        <v>6</v>
      </c>
      <c r="D60" t="str">
        <f>""</f>
        <v/>
      </c>
      <c r="E60" t="str">
        <f>"26105.908"</f>
        <v>26105.908</v>
      </c>
      <c r="F60" t="str">
        <f>""</f>
        <v/>
      </c>
      <c r="G60" t="str">
        <f t="shared" si="8"/>
        <v>0.001</v>
      </c>
      <c r="H60" t="str">
        <f>"1.165"</f>
        <v>1.165</v>
      </c>
      <c r="I60" t="str">
        <f>" 100                                                 "</f>
        <v xml:space="preserve"> 100                                                 </v>
      </c>
      <c r="J60" t="str">
        <f>""</f>
        <v/>
      </c>
    </row>
    <row r="61" spans="1:10">
      <c r="A61" s="1" t="str">
        <f>"3d7.(2H).4s"</f>
        <v>3d7.(2H).4s</v>
      </c>
      <c r="B61" t="str">
        <f>"b 3H"</f>
        <v>b 3H</v>
      </c>
      <c r="C61" t="str">
        <f>"5"</f>
        <v>5</v>
      </c>
      <c r="D61" t="str">
        <f>""</f>
        <v/>
      </c>
      <c r="E61" t="str">
        <f>"26351.040"</f>
        <v>26351.040</v>
      </c>
      <c r="F61" t="str">
        <f>""</f>
        <v/>
      </c>
      <c r="G61" t="str">
        <f t="shared" si="8"/>
        <v>0.001</v>
      </c>
      <c r="H61" t="str">
        <f>"1.032"</f>
        <v>1.032</v>
      </c>
      <c r="I61" t="str">
        <f>"  98             :     2  3d7.(2H).4s           1H   "</f>
        <v xml:space="preserve">  98             :     2  3d7.(2H).4s           1H   </v>
      </c>
      <c r="J61" t="str">
        <f>""</f>
        <v/>
      </c>
    </row>
    <row r="62" spans="1:10">
      <c r="A62" s="1" t="str">
        <f>"3d7.(2H).4s"</f>
        <v>3d7.(2H).4s</v>
      </c>
      <c r="B62" t="str">
        <f>"b 3H"</f>
        <v>b 3H</v>
      </c>
      <c r="C62" t="str">
        <f>"4"</f>
        <v>4</v>
      </c>
      <c r="D62" t="str">
        <f>""</f>
        <v/>
      </c>
      <c r="E62" t="str">
        <f>"26627.609"</f>
        <v>26627.609</v>
      </c>
      <c r="F62" t="str">
        <f>""</f>
        <v/>
      </c>
      <c r="G62" t="str">
        <f t="shared" si="8"/>
        <v>0.001</v>
      </c>
      <c r="H62" t="str">
        <f>"0.811"</f>
        <v>0.811</v>
      </c>
      <c r="I62" t="str">
        <f>"  98             :     2  3d7.(2G).4s           1G   "</f>
        <v xml:space="preserve">  98             :     2  3d7.(2G).4s           1G   </v>
      </c>
      <c r="J62" t="str">
        <f>""</f>
        <v/>
      </c>
    </row>
    <row r="63" spans="1:10">
      <c r="A63" s="1" t="str">
        <f>"3d7.(2D2).4s"</f>
        <v>3d7.(2D2).4s</v>
      </c>
      <c r="B63" t="str">
        <f>"a 3D"</f>
        <v>a 3D</v>
      </c>
      <c r="C63" t="str">
        <f>"3"</f>
        <v>3</v>
      </c>
      <c r="D63" t="str">
        <f>""</f>
        <v/>
      </c>
      <c r="E63" t="str">
        <f>"26224.969"</f>
        <v>26224.969</v>
      </c>
      <c r="F63" t="str">
        <f>""</f>
        <v/>
      </c>
      <c r="G63" t="str">
        <f t="shared" si="8"/>
        <v>0.001</v>
      </c>
      <c r="H63" t="str">
        <f>"1.335"</f>
        <v>1.335</v>
      </c>
      <c r="I63" t="str">
        <f>"  74             :     3  3d7.(2D1).4s          3D   "</f>
        <v xml:space="preserve">  74             :     3  3d7.(2D1).4s          3D   </v>
      </c>
      <c r="J63" t="str">
        <f>""</f>
        <v/>
      </c>
    </row>
    <row r="64" spans="1:10">
      <c r="A64" s="1" t="str">
        <f>"3d7.(2D2).4s"</f>
        <v>3d7.(2D2).4s</v>
      </c>
      <c r="B64" t="str">
        <f>"a 3D"</f>
        <v>a 3D</v>
      </c>
      <c r="C64" t="str">
        <f>"1"</f>
        <v>1</v>
      </c>
      <c r="D64" t="str">
        <f>""</f>
        <v/>
      </c>
      <c r="E64" t="str">
        <f>"26406.465"</f>
        <v>26406.465</v>
      </c>
      <c r="F64" t="str">
        <f>""</f>
        <v/>
      </c>
      <c r="G64" t="str">
        <f t="shared" si="8"/>
        <v>0.001</v>
      </c>
      <c r="H64" t="str">
        <f>"0.731"</f>
        <v>0.731</v>
      </c>
      <c r="I64" t="str">
        <f>"  45             :    35  3d7.(2P).4s           1P   "</f>
        <v xml:space="preserve">  45             :    35  3d7.(2P).4s           1P   </v>
      </c>
      <c r="J64" t="str">
        <f>""</f>
        <v/>
      </c>
    </row>
    <row r="65" spans="1:10">
      <c r="A65" s="1" t="str">
        <f>"3d7.(2D2).4s"</f>
        <v>3d7.(2D2).4s</v>
      </c>
      <c r="B65" t="str">
        <f>"a 3D"</f>
        <v>a 3D</v>
      </c>
      <c r="C65" t="str">
        <f>"2"</f>
        <v>2</v>
      </c>
      <c r="D65" t="str">
        <f>""</f>
        <v/>
      </c>
      <c r="E65" t="str">
        <f>"26623.735"</f>
        <v>26623.735</v>
      </c>
      <c r="F65" t="str">
        <f>""</f>
        <v/>
      </c>
      <c r="G65" t="str">
        <f t="shared" si="8"/>
        <v>0.001</v>
      </c>
      <c r="H65" t="str">
        <f>"1.178"</f>
        <v>1.178</v>
      </c>
      <c r="I65" t="str">
        <f>"  67             :    18  3d7.(2D1).4s          3D   "</f>
        <v xml:space="preserve">  67             :    18  3d7.(2D1).4s          3D   </v>
      </c>
      <c r="J65" t="str">
        <f>""</f>
        <v/>
      </c>
    </row>
    <row r="66" spans="1:10">
      <c r="A66" s="1" t="str">
        <f>"3d6.(5D).4s.4p.(3P*)"</f>
        <v>3d6.(5D).4s.4p.(3P*)</v>
      </c>
      <c r="B66" t="str">
        <f>"z 5F*"</f>
        <v>z 5F*</v>
      </c>
      <c r="C66" t="str">
        <f>"5"</f>
        <v>5</v>
      </c>
      <c r="D66" t="str">
        <f>""</f>
        <v/>
      </c>
      <c r="E66" t="str">
        <f>"26874.550"</f>
        <v>26874.550</v>
      </c>
      <c r="F66" t="str">
        <f>""</f>
        <v/>
      </c>
      <c r="G66" t="str">
        <f t="shared" si="8"/>
        <v>0.001</v>
      </c>
      <c r="H66" t="str">
        <f>"1.399"</f>
        <v>1.399</v>
      </c>
      <c r="I66" t="str">
        <f>"  95             :     4  3d7.(4F).4p           5F*  "</f>
        <v xml:space="preserve">  95             :     4  3d7.(4F).4p           5F*  </v>
      </c>
      <c r="J66" t="str">
        <f>""</f>
        <v/>
      </c>
    </row>
    <row r="67" spans="1:10">
      <c r="A67" s="1" t="str">
        <f>"3d6.(5D).4s.4p.(3P*)"</f>
        <v>3d6.(5D).4s.4p.(3P*)</v>
      </c>
      <c r="B67" t="str">
        <f>"z 5F*"</f>
        <v>z 5F*</v>
      </c>
      <c r="C67" t="str">
        <f>"4"</f>
        <v>4</v>
      </c>
      <c r="D67" t="str">
        <f>""</f>
        <v/>
      </c>
      <c r="E67" t="str">
        <f>"27166.820"</f>
        <v>27166.820</v>
      </c>
      <c r="F67" t="str">
        <f>""</f>
        <v/>
      </c>
      <c r="G67" t="str">
        <f t="shared" si="8"/>
        <v>0.001</v>
      </c>
      <c r="H67" t="str">
        <f>"1.355"</f>
        <v>1.355</v>
      </c>
      <c r="I67" t="str">
        <f>"  94             :     4  3d7.(4F).4p           5F*  "</f>
        <v xml:space="preserve">  94             :     4  3d7.(4F).4p           5F*  </v>
      </c>
      <c r="J67" t="str">
        <f>""</f>
        <v/>
      </c>
    </row>
    <row r="68" spans="1:10">
      <c r="A68" s="1" t="str">
        <f>"3d6.(5D).4s.4p.(3P*)"</f>
        <v>3d6.(5D).4s.4p.(3P*)</v>
      </c>
      <c r="B68" t="str">
        <f>"z 5F*"</f>
        <v>z 5F*</v>
      </c>
      <c r="C68" t="str">
        <f>"3"</f>
        <v>3</v>
      </c>
      <c r="D68" t="str">
        <f>""</f>
        <v/>
      </c>
      <c r="E68" t="str">
        <f>"27394.691"</f>
        <v>27394.691</v>
      </c>
      <c r="F68" t="str">
        <f>""</f>
        <v/>
      </c>
      <c r="G68" t="str">
        <f t="shared" si="8"/>
        <v>0.001</v>
      </c>
      <c r="H68" t="str">
        <f>"1.250"</f>
        <v>1.250</v>
      </c>
      <c r="I68" t="str">
        <f>"  94             :     4  3d7.(4F).4p           5F*  "</f>
        <v xml:space="preserve">  94             :     4  3d7.(4F).4p           5F*  </v>
      </c>
      <c r="J68" t="str">
        <f>""</f>
        <v/>
      </c>
    </row>
    <row r="69" spans="1:10">
      <c r="A69" s="1" t="str">
        <f>"3d6.(5D).4s.4p.(3P*)"</f>
        <v>3d6.(5D).4s.4p.(3P*)</v>
      </c>
      <c r="B69" t="str">
        <f>"z 5F*"</f>
        <v>z 5F*</v>
      </c>
      <c r="C69" t="str">
        <f>"2"</f>
        <v>2</v>
      </c>
      <c r="D69" t="str">
        <f>""</f>
        <v/>
      </c>
      <c r="E69" t="str">
        <f>"27559.583"</f>
        <v>27559.583</v>
      </c>
      <c r="F69" t="str">
        <f>""</f>
        <v/>
      </c>
      <c r="G69" t="str">
        <f t="shared" si="8"/>
        <v>0.001</v>
      </c>
      <c r="H69" t="str">
        <f>"1.004"</f>
        <v>1.004</v>
      </c>
      <c r="I69" t="str">
        <f>"  95             :     4  3d7.(4F).4p           5F*  "</f>
        <v xml:space="preserve">  95             :     4  3d7.(4F).4p           5F*  </v>
      </c>
      <c r="J69" t="str">
        <f>""</f>
        <v/>
      </c>
    </row>
    <row r="70" spans="1:10">
      <c r="A70" s="1" t="str">
        <f>"3d6.(5D).4s.4p.(3P*)"</f>
        <v>3d6.(5D).4s.4p.(3P*)</v>
      </c>
      <c r="B70" t="str">
        <f>"z 5F*"</f>
        <v>z 5F*</v>
      </c>
      <c r="C70" t="str">
        <f>"1"</f>
        <v>1</v>
      </c>
      <c r="D70" t="str">
        <f>""</f>
        <v/>
      </c>
      <c r="E70" t="str">
        <f>"27666.348"</f>
        <v>27666.348</v>
      </c>
      <c r="F70" t="str">
        <f>""</f>
        <v/>
      </c>
      <c r="G70" t="str">
        <f t="shared" si="8"/>
        <v>0.001</v>
      </c>
      <c r="H70" t="str">
        <f>"-0.012"</f>
        <v>-0.012</v>
      </c>
      <c r="I70" t="str">
        <f>"  95             :     4  3d7.(4F).4p           5F*  "</f>
        <v xml:space="preserve">  95             :     4  3d7.(4F).4p           5F*  </v>
      </c>
      <c r="J70" t="str">
        <f>""</f>
        <v/>
      </c>
    </row>
    <row r="71" spans="1:10">
      <c r="A71" s="1" t="str">
        <f>"3d7.(2P).4s"</f>
        <v>3d7.(2P).4s</v>
      </c>
      <c r="B71" t="str">
        <f>"a 1P"</f>
        <v>a 1P</v>
      </c>
      <c r="C71" t="str">
        <f>"1"</f>
        <v>1</v>
      </c>
      <c r="D71" t="str">
        <f>""</f>
        <v/>
      </c>
      <c r="E71" t="str">
        <f>"27543.003"</f>
        <v>27543.003</v>
      </c>
      <c r="F71" t="str">
        <f>""</f>
        <v/>
      </c>
      <c r="G71" t="str">
        <f t="shared" si="8"/>
        <v>0.001</v>
      </c>
      <c r="H71" t="str">
        <f>"0.817"</f>
        <v>0.817</v>
      </c>
      <c r="I71" t="str">
        <f>"  62             :    23  3d7.(2D2).4s          3D   "</f>
        <v xml:space="preserve">  62             :    23  3d7.(2D2).4s          3D   </v>
      </c>
      <c r="J71" t="str">
        <f>""</f>
        <v/>
      </c>
    </row>
    <row r="72" spans="1:10">
      <c r="A72" s="1" t="str">
        <f>"3d7.(2D2).4s"</f>
        <v>3d7.(2D2).4s</v>
      </c>
      <c r="B72" t="str">
        <f>"a 1D"</f>
        <v>a 1D</v>
      </c>
      <c r="C72" t="str">
        <f>"2"</f>
        <v>2</v>
      </c>
      <c r="D72" t="str">
        <f>""</f>
        <v/>
      </c>
      <c r="E72" t="str">
        <f>"28604.613"</f>
        <v>28604.613</v>
      </c>
      <c r="F72" t="str">
        <f>""</f>
        <v/>
      </c>
      <c r="G72" t="str">
        <f t="shared" si="8"/>
        <v>0.001</v>
      </c>
      <c r="H72" t="str">
        <f>"1.028"</f>
        <v>1.028</v>
      </c>
      <c r="I72" t="str">
        <f>"  64             :    16  3d7.(2D1).4s          1D   "</f>
        <v xml:space="preserve">  64             :    16  3d7.(2D1).4s          1D   </v>
      </c>
      <c r="J72" t="str">
        <f>""</f>
        <v/>
      </c>
    </row>
    <row r="73" spans="1:10">
      <c r="A73" s="1" t="str">
        <f>"3d7.(2H).4s"</f>
        <v>3d7.(2H).4s</v>
      </c>
      <c r="B73" t="str">
        <f>"a 1H"</f>
        <v>a 1H</v>
      </c>
      <c r="C73" t="str">
        <f>"5"</f>
        <v>5</v>
      </c>
      <c r="D73" t="str">
        <f>""</f>
        <v/>
      </c>
      <c r="E73" t="str">
        <f>"28819.954"</f>
        <v>28819.954</v>
      </c>
      <c r="F73" t="str">
        <f>""</f>
        <v/>
      </c>
      <c r="G73" t="str">
        <f t="shared" si="8"/>
        <v>0.001</v>
      </c>
      <c r="H73" t="str">
        <f>"1.000"</f>
        <v>1.000</v>
      </c>
      <c r="I73" t="str">
        <f>"  98                                                 "</f>
        <v xml:space="preserve">  98                                                 </v>
      </c>
      <c r="J73" t="str">
        <f>""</f>
        <v/>
      </c>
    </row>
    <row r="74" spans="1:10">
      <c r="A74" s="1" t="str">
        <f>"3d6.(5D).4s.4p.(3P*)"</f>
        <v>3d6.(5D).4s.4p.(3P*)</v>
      </c>
      <c r="B74" t="str">
        <f>"z 5P*"</f>
        <v>z 5P*</v>
      </c>
      <c r="C74" t="str">
        <f>"3"</f>
        <v>3</v>
      </c>
      <c r="D74" t="str">
        <f>""</f>
        <v/>
      </c>
      <c r="E74" t="str">
        <f>"29056.324"</f>
        <v>29056.324</v>
      </c>
      <c r="F74" t="str">
        <f>""</f>
        <v/>
      </c>
      <c r="G74" t="str">
        <f t="shared" si="8"/>
        <v>0.001</v>
      </c>
      <c r="H74" t="str">
        <f>"1.657"</f>
        <v>1.657</v>
      </c>
      <c r="I74" t="str">
        <f>"  98                                                 "</f>
        <v xml:space="preserve">  98                                                 </v>
      </c>
      <c r="J74" t="str">
        <f>""</f>
        <v/>
      </c>
    </row>
    <row r="75" spans="1:10">
      <c r="A75" s="1" t="str">
        <f>"3d6.(5D).4s.4p.(3P*)"</f>
        <v>3d6.(5D).4s.4p.(3P*)</v>
      </c>
      <c r="B75" t="str">
        <f>"z 5P*"</f>
        <v>z 5P*</v>
      </c>
      <c r="C75" t="str">
        <f>"2"</f>
        <v>2</v>
      </c>
      <c r="D75" t="str">
        <f>""</f>
        <v/>
      </c>
      <c r="E75" t="str">
        <f>"29469.024"</f>
        <v>29469.024</v>
      </c>
      <c r="F75" t="str">
        <f>""</f>
        <v/>
      </c>
      <c r="G75" t="str">
        <f t="shared" si="8"/>
        <v>0.001</v>
      </c>
      <c r="H75" t="str">
        <f>"1.835"</f>
        <v>1.835</v>
      </c>
      <c r="I75" t="str">
        <f>"  97                                                 "</f>
        <v xml:space="preserve">  97                                                 </v>
      </c>
      <c r="J75" t="str">
        <f>""</f>
        <v/>
      </c>
    </row>
    <row r="76" spans="1:10">
      <c r="A76" s="1" t="str">
        <f>"3d6.(5D).4s.4p.(3P*)"</f>
        <v>3d6.(5D).4s.4p.(3P*)</v>
      </c>
      <c r="B76" t="str">
        <f>"z 5P*"</f>
        <v>z 5P*</v>
      </c>
      <c r="C76" t="str">
        <f>"1"</f>
        <v>1</v>
      </c>
      <c r="D76" t="str">
        <f>""</f>
        <v/>
      </c>
      <c r="E76" t="str">
        <f>"29732.736"</f>
        <v>29732.736</v>
      </c>
      <c r="F76" t="str">
        <f>""</f>
        <v/>
      </c>
      <c r="G76" t="str">
        <f t="shared" si="8"/>
        <v>0.001</v>
      </c>
      <c r="H76" t="str">
        <f>"2.487"</f>
        <v>2.487</v>
      </c>
      <c r="I76" t="str">
        <f>"  97                                                 "</f>
        <v xml:space="preserve">  97                                                 </v>
      </c>
      <c r="J76" t="str">
        <f>""</f>
        <v/>
      </c>
    </row>
    <row r="77" spans="1:10">
      <c r="A77" s="1" t="str">
        <f>"3d6.4s2"</f>
        <v>3d6.4s2</v>
      </c>
      <c r="B77" t="str">
        <f>"a 1I"</f>
        <v>a 1I</v>
      </c>
      <c r="C77" t="str">
        <f>"6"</f>
        <v>6</v>
      </c>
      <c r="D77" t="str">
        <f>""</f>
        <v/>
      </c>
      <c r="E77" t="str">
        <f>"29313.008"</f>
        <v>29313.008</v>
      </c>
      <c r="F77" t="str">
        <f>""</f>
        <v/>
      </c>
      <c r="G77" t="str">
        <f t="shared" si="8"/>
        <v>0.001</v>
      </c>
      <c r="H77" t="str">
        <f>"1.014"</f>
        <v>1.014</v>
      </c>
      <c r="I77" t="str">
        <f>" 100                                                 "</f>
        <v xml:space="preserve"> 100                                                 </v>
      </c>
      <c r="J77" t="str">
        <f>""</f>
        <v/>
      </c>
    </row>
    <row r="78" spans="1:10">
      <c r="A78" s="1" t="str">
        <f>"3d6.4s2"</f>
        <v>3d6.4s2</v>
      </c>
      <c r="B78" t="str">
        <f>"b 3D"</f>
        <v>b 3D</v>
      </c>
      <c r="C78" t="str">
        <f>"1"</f>
        <v>1</v>
      </c>
      <c r="D78" t="str">
        <f>""</f>
        <v/>
      </c>
      <c r="E78" t="str">
        <f>"29320.026"</f>
        <v>29320.026</v>
      </c>
      <c r="F78" t="str">
        <f>""</f>
        <v/>
      </c>
      <c r="G78" t="str">
        <f t="shared" si="8"/>
        <v>0.001</v>
      </c>
      <c r="H78" t="str">
        <f>""</f>
        <v/>
      </c>
      <c r="I78" t="str">
        <f>"  88             :     8  3d7.(2D2).4s          3D   "</f>
        <v xml:space="preserve">  88             :     8  3d7.(2D2).4s          3D   </v>
      </c>
      <c r="J78" t="str">
        <f>""</f>
        <v/>
      </c>
    </row>
    <row r="79" spans="1:10">
      <c r="A79" s="1" t="str">
        <f>"3d6.4s2"</f>
        <v>3d6.4s2</v>
      </c>
      <c r="B79" t="str">
        <f>"b 3D"</f>
        <v>b 3D</v>
      </c>
      <c r="C79" t="str">
        <f>"2"</f>
        <v>2</v>
      </c>
      <c r="D79" t="str">
        <f>""</f>
        <v/>
      </c>
      <c r="E79" t="str">
        <f>"29356.744"</f>
        <v>29356.744</v>
      </c>
      <c r="F79" t="str">
        <f>""</f>
        <v/>
      </c>
      <c r="G79" t="str">
        <f t="shared" si="8"/>
        <v>0.001</v>
      </c>
      <c r="H79" t="str">
        <f>""</f>
        <v/>
      </c>
      <c r="I79" t="str">
        <f>"  81             :     7  3d7.(2D2).4s          3D   "</f>
        <v xml:space="preserve">  81             :     7  3d7.(2D2).4s          3D   </v>
      </c>
      <c r="J79" t="str">
        <f>""</f>
        <v/>
      </c>
    </row>
    <row r="80" spans="1:10">
      <c r="A80" s="1" t="str">
        <f>"3d6.4s2"</f>
        <v>3d6.4s2</v>
      </c>
      <c r="B80" t="str">
        <f>"b 3D"</f>
        <v>b 3D</v>
      </c>
      <c r="C80" t="str">
        <f>"3"</f>
        <v>3</v>
      </c>
      <c r="D80" t="str">
        <f>""</f>
        <v/>
      </c>
      <c r="E80" t="str">
        <f>"29371.812"</f>
        <v>29371.812</v>
      </c>
      <c r="F80" t="str">
        <f>""</f>
        <v/>
      </c>
      <c r="G80" t="str">
        <f t="shared" si="8"/>
        <v>0.001</v>
      </c>
      <c r="H80" t="str">
        <f>"1.326"</f>
        <v>1.326</v>
      </c>
      <c r="I80" t="str">
        <f>"  94             :     4  3d7.(2D2).4s          3D   "</f>
        <v xml:space="preserve">  94             :     4  3d7.(2D2).4s          3D   </v>
      </c>
      <c r="J80" t="str">
        <f>""</f>
        <v/>
      </c>
    </row>
    <row r="81" spans="1:10">
      <c r="A81" s="1" t="str">
        <f>"3d6.4s2"</f>
        <v>3d6.4s2</v>
      </c>
      <c r="B81" t="str">
        <f>"b 1G2"</f>
        <v>b 1G2</v>
      </c>
      <c r="C81" t="str">
        <f>"4"</f>
        <v>4</v>
      </c>
      <c r="D81" t="str">
        <f>""</f>
        <v/>
      </c>
      <c r="E81" t="str">
        <f>"29798.936"</f>
        <v>29798.936</v>
      </c>
      <c r="F81" t="str">
        <f>""</f>
        <v/>
      </c>
      <c r="G81" t="str">
        <f t="shared" si="8"/>
        <v>0.001</v>
      </c>
      <c r="H81" t="str">
        <f>"0.979"</f>
        <v>0.979</v>
      </c>
      <c r="I81" t="str">
        <f>"  62             :    35  3d6.4s2               1G1  "</f>
        <v xml:space="preserve">  62             :    35  3d6.4s2               1G1  </v>
      </c>
      <c r="J81" t="str">
        <f>""</f>
        <v/>
      </c>
    </row>
    <row r="82" spans="1:10">
      <c r="A82" s="1" t="str">
        <f t="shared" ref="A82:A87" si="9">"3d6.(5D).4s.4p.(3P*)"</f>
        <v>3d6.(5D).4s.4p.(3P*)</v>
      </c>
      <c r="B82" t="str">
        <f>"z 3F*"</f>
        <v>z 3F*</v>
      </c>
      <c r="C82" t="str">
        <f>"4"</f>
        <v>4</v>
      </c>
      <c r="D82" t="str">
        <f>""</f>
        <v/>
      </c>
      <c r="E82" t="str">
        <f>"31307.245"</f>
        <v>31307.245</v>
      </c>
      <c r="F82" t="str">
        <f>""</f>
        <v/>
      </c>
      <c r="G82" t="str">
        <f t="shared" si="8"/>
        <v>0.001</v>
      </c>
      <c r="H82" t="str">
        <f>"1.250"</f>
        <v>1.250</v>
      </c>
      <c r="I82" t="str">
        <f>"  94             :     5  3d7.(4F).4p           3F*  "</f>
        <v xml:space="preserve">  94             :     5  3d7.(4F).4p           3F*  </v>
      </c>
      <c r="J82" t="str">
        <f>""</f>
        <v/>
      </c>
    </row>
    <row r="83" spans="1:10">
      <c r="A83" s="1" t="str">
        <f t="shared" si="9"/>
        <v>3d6.(5D).4s.4p.(3P*)</v>
      </c>
      <c r="B83" t="str">
        <f>"z 3F*"</f>
        <v>z 3F*</v>
      </c>
      <c r="C83" t="str">
        <f>"3"</f>
        <v>3</v>
      </c>
      <c r="D83" t="str">
        <f>""</f>
        <v/>
      </c>
      <c r="E83" t="str">
        <f>"31805.071"</f>
        <v>31805.071</v>
      </c>
      <c r="F83" t="str">
        <f>""</f>
        <v/>
      </c>
      <c r="G83" t="str">
        <f t="shared" si="8"/>
        <v>0.001</v>
      </c>
      <c r="H83" t="str">
        <f>"1.086"</f>
        <v>1.086</v>
      </c>
      <c r="I83" t="str">
        <f>"  97                                                 "</f>
        <v xml:space="preserve">  97                                                 </v>
      </c>
      <c r="J83" t="str">
        <f>""</f>
        <v/>
      </c>
    </row>
    <row r="84" spans="1:10">
      <c r="A84" s="1" t="str">
        <f t="shared" si="9"/>
        <v>3d6.(5D).4s.4p.(3P*)</v>
      </c>
      <c r="B84" t="str">
        <f>"z 3F*"</f>
        <v>z 3F*</v>
      </c>
      <c r="C84" t="str">
        <f>"2"</f>
        <v>2</v>
      </c>
      <c r="D84" t="str">
        <f>""</f>
        <v/>
      </c>
      <c r="E84" t="str">
        <f>"32133.991"</f>
        <v>32133.991</v>
      </c>
      <c r="F84" t="str">
        <f>""</f>
        <v/>
      </c>
      <c r="G84" t="str">
        <f t="shared" si="8"/>
        <v>0.001</v>
      </c>
      <c r="H84" t="str">
        <f>"0.682"</f>
        <v>0.682</v>
      </c>
      <c r="I84" t="str">
        <f>"  93             :     5  3d7.(4F).4p           3F*  "</f>
        <v xml:space="preserve">  93             :     5  3d7.(4F).4p           3F*  </v>
      </c>
      <c r="J84" t="str">
        <f>""</f>
        <v/>
      </c>
    </row>
    <row r="85" spans="1:10">
      <c r="A85" s="1" t="str">
        <f t="shared" si="9"/>
        <v>3d6.(5D).4s.4p.(3P*)</v>
      </c>
      <c r="B85" t="str">
        <f>"z 3D*"</f>
        <v>z 3D*</v>
      </c>
      <c r="C85" t="str">
        <f>"3"</f>
        <v>3</v>
      </c>
      <c r="D85" t="str">
        <f>""</f>
        <v/>
      </c>
      <c r="E85" t="str">
        <f>"31322.613"</f>
        <v>31322.613</v>
      </c>
      <c r="F85" t="str">
        <f>""</f>
        <v/>
      </c>
      <c r="G85" t="str">
        <f t="shared" si="8"/>
        <v>0.001</v>
      </c>
      <c r="H85" t="str">
        <f>"1.321"</f>
        <v>1.321</v>
      </c>
      <c r="I85" t="str">
        <f>"  90             :     8  3d7.(4F).4p           3D*  "</f>
        <v xml:space="preserve">  90             :     8  3d7.(4F).4p           3D*  </v>
      </c>
      <c r="J85" t="str">
        <f>""</f>
        <v/>
      </c>
    </row>
    <row r="86" spans="1:10">
      <c r="A86" s="1" t="str">
        <f t="shared" si="9"/>
        <v>3d6.(5D).4s.4p.(3P*)</v>
      </c>
      <c r="B86" t="str">
        <f>"z 3D*"</f>
        <v>z 3D*</v>
      </c>
      <c r="C86" t="str">
        <f>"2"</f>
        <v>2</v>
      </c>
      <c r="D86" t="str">
        <f>""</f>
        <v/>
      </c>
      <c r="E86" t="str">
        <f>"31686.351"</f>
        <v>31686.351</v>
      </c>
      <c r="F86" t="str">
        <f>""</f>
        <v/>
      </c>
      <c r="G86" t="str">
        <f t="shared" ref="G86:G105" si="10">"0.001"</f>
        <v>0.001</v>
      </c>
      <c r="H86" t="str">
        <f>"1.168"</f>
        <v>1.168</v>
      </c>
      <c r="I86" t="str">
        <f>"  90             :     8  3d7.(4F).4p           3D*  "</f>
        <v xml:space="preserve">  90             :     8  3d7.(4F).4p           3D*  </v>
      </c>
      <c r="J86" t="str">
        <f>""</f>
        <v/>
      </c>
    </row>
    <row r="87" spans="1:10">
      <c r="A87" s="1" t="str">
        <f t="shared" si="9"/>
        <v>3d6.(5D).4s.4p.(3P*)</v>
      </c>
      <c r="B87" t="str">
        <f>"z 3D*"</f>
        <v>z 3D*</v>
      </c>
      <c r="C87" t="str">
        <f>"1"</f>
        <v>1</v>
      </c>
      <c r="D87" t="str">
        <f>""</f>
        <v/>
      </c>
      <c r="E87" t="str">
        <f>"31937.325"</f>
        <v>31937.325</v>
      </c>
      <c r="F87" t="str">
        <f>""</f>
        <v/>
      </c>
      <c r="G87" t="str">
        <f t="shared" si="10"/>
        <v>0.001</v>
      </c>
      <c r="H87" t="str">
        <f>"0.513"</f>
        <v>0.513</v>
      </c>
      <c r="I87" t="str">
        <f>"  91             :     8  3d7.(4F).4p           3D*  "</f>
        <v xml:space="preserve">  91             :     8  3d7.(4F).4p           3D*  </v>
      </c>
      <c r="J87" t="str">
        <f>""</f>
        <v/>
      </c>
    </row>
    <row r="88" spans="1:10">
      <c r="A88" s="1" t="str">
        <f>"3d8"</f>
        <v>3d8</v>
      </c>
      <c r="B88" t="str">
        <f>"c 3F"</f>
        <v>c 3F</v>
      </c>
      <c r="C88" t="str">
        <f>"4"</f>
        <v>4</v>
      </c>
      <c r="D88" t="str">
        <f>""</f>
        <v/>
      </c>
      <c r="E88" t="str">
        <f>"32873.632"</f>
        <v>32873.632</v>
      </c>
      <c r="F88" t="str">
        <f>""</f>
        <v/>
      </c>
      <c r="G88" t="str">
        <f t="shared" si="10"/>
        <v>0.001</v>
      </c>
      <c r="H88" t="str">
        <f>"1.264"</f>
        <v>1.264</v>
      </c>
      <c r="I88" t="str">
        <f>"  92             :     3  3d7.(2F).4s           3F   "</f>
        <v xml:space="preserve">  92             :     3  3d7.(2F).4s           3F   </v>
      </c>
      <c r="J88" t="str">
        <f>""</f>
        <v/>
      </c>
    </row>
    <row r="89" spans="1:10">
      <c r="A89" s="1" t="str">
        <f>"3d8"</f>
        <v>3d8</v>
      </c>
      <c r="B89" t="str">
        <f>"c 3F"</f>
        <v>c 3F</v>
      </c>
      <c r="C89" t="str">
        <f>"3"</f>
        <v>3</v>
      </c>
      <c r="D89" t="str">
        <f>""</f>
        <v/>
      </c>
      <c r="E89" t="str">
        <f>"33412.717"</f>
        <v>33412.717</v>
      </c>
      <c r="F89" t="str">
        <f>""</f>
        <v/>
      </c>
      <c r="G89" t="str">
        <f t="shared" si="10"/>
        <v>0.001</v>
      </c>
      <c r="H89" t="str">
        <f>"1.066"</f>
        <v>1.066</v>
      </c>
      <c r="I89" t="str">
        <f>"  92             :     5  3d7.(2F).4s           3F   "</f>
        <v xml:space="preserve">  92             :     5  3d7.(2F).4s           3F   </v>
      </c>
      <c r="J89" t="str">
        <f>""</f>
        <v/>
      </c>
    </row>
    <row r="90" spans="1:10">
      <c r="A90" s="1" t="str">
        <f>"3d8"</f>
        <v>3d8</v>
      </c>
      <c r="B90" t="str">
        <f>"c 3F"</f>
        <v>c 3F</v>
      </c>
      <c r="C90" t="str">
        <f>"2"</f>
        <v>2</v>
      </c>
      <c r="D90" t="str">
        <f>""</f>
        <v/>
      </c>
      <c r="E90" t="str">
        <f>"33765.306"</f>
        <v>33765.306</v>
      </c>
      <c r="F90" t="str">
        <f>""</f>
        <v/>
      </c>
      <c r="G90" t="str">
        <f t="shared" si="10"/>
        <v>0.001</v>
      </c>
      <c r="H90" t="str">
        <f>"0.677"</f>
        <v>0.677</v>
      </c>
      <c r="I90" t="str">
        <f>"  86             :     6  3d7.(2F).4s           3F   "</f>
        <v xml:space="preserve">  86             :     6  3d7.(2F).4s           3F   </v>
      </c>
      <c r="J90" t="str">
        <f>""</f>
        <v/>
      </c>
    </row>
    <row r="91" spans="1:10">
      <c r="A91" s="1" t="str">
        <f t="shared" ref="A91:A100" si="11">"3d7.(4F).4p"</f>
        <v>3d7.(4F).4p</v>
      </c>
      <c r="B91" t="str">
        <f>"y 5D*"</f>
        <v>y 5D*</v>
      </c>
      <c r="C91" t="str">
        <f>"4"</f>
        <v>4</v>
      </c>
      <c r="D91" t="str">
        <f>""</f>
        <v/>
      </c>
      <c r="E91" t="str">
        <f>"33095.941"</f>
        <v>33095.941</v>
      </c>
      <c r="F91" t="str">
        <f>""</f>
        <v/>
      </c>
      <c r="G91" t="str">
        <f t="shared" si="10"/>
        <v>0.001</v>
      </c>
      <c r="H91" t="str">
        <f>"1.496"</f>
        <v>1.496</v>
      </c>
      <c r="I91" t="str">
        <f>"  61             :    34  3d6.(5D).4s.4p.(1P*)  5D*  "</f>
        <v xml:space="preserve">  61             :    34  3d6.(5D).4s.4p.(1P*)  5D*  </v>
      </c>
      <c r="J91" t="str">
        <f>""</f>
        <v/>
      </c>
    </row>
    <row r="92" spans="1:10">
      <c r="A92" s="1" t="str">
        <f t="shared" si="11"/>
        <v>3d7.(4F).4p</v>
      </c>
      <c r="B92" t="str">
        <f>"y 5D*"</f>
        <v>y 5D*</v>
      </c>
      <c r="C92" t="str">
        <f>"3"</f>
        <v>3</v>
      </c>
      <c r="D92" t="str">
        <f>""</f>
        <v/>
      </c>
      <c r="E92" t="str">
        <f>"33507.123"</f>
        <v>33507.123</v>
      </c>
      <c r="F92" t="str">
        <f>""</f>
        <v/>
      </c>
      <c r="G92" t="str">
        <f t="shared" si="10"/>
        <v>0.001</v>
      </c>
      <c r="H92" t="str">
        <f>"1.492"</f>
        <v>1.492</v>
      </c>
      <c r="I92" t="str">
        <f>"  60             :    34  3d6.(5D).4s.4p.(1P*)  5D*  "</f>
        <v xml:space="preserve">  60             :    34  3d6.(5D).4s.4p.(1P*)  5D*  </v>
      </c>
      <c r="J92" t="str">
        <f>""</f>
        <v/>
      </c>
    </row>
    <row r="93" spans="1:10">
      <c r="A93" s="1" t="str">
        <f t="shared" si="11"/>
        <v>3d7.(4F).4p</v>
      </c>
      <c r="B93" t="str">
        <f>"y 5D*"</f>
        <v>y 5D*</v>
      </c>
      <c r="C93" t="str">
        <f>"2"</f>
        <v>2</v>
      </c>
      <c r="D93" t="str">
        <f>""</f>
        <v/>
      </c>
      <c r="E93" t="str">
        <f>"33801.572"</f>
        <v>33801.572</v>
      </c>
      <c r="F93" t="str">
        <f>""</f>
        <v/>
      </c>
      <c r="G93" t="str">
        <f t="shared" si="10"/>
        <v>0.001</v>
      </c>
      <c r="H93" t="str">
        <f>"1.495"</f>
        <v>1.495</v>
      </c>
      <c r="I93" t="str">
        <f>"  56             :    34  3d6.(5D).4s.4p.(1P*)  5D*  "</f>
        <v xml:space="preserve">  56             :    34  3d6.(5D).4s.4p.(1P*)  5D*  </v>
      </c>
      <c r="J93" t="str">
        <f>""</f>
        <v/>
      </c>
    </row>
    <row r="94" spans="1:10">
      <c r="A94" s="1" t="str">
        <f t="shared" si="11"/>
        <v>3d7.(4F).4p</v>
      </c>
      <c r="B94" t="str">
        <f>"y 5D*"</f>
        <v>y 5D*</v>
      </c>
      <c r="C94" t="str">
        <f>"1"</f>
        <v>1</v>
      </c>
      <c r="D94" t="str">
        <f>""</f>
        <v/>
      </c>
      <c r="E94" t="str">
        <f>"34017.103"</f>
        <v>34017.103</v>
      </c>
      <c r="F94" t="str">
        <f>""</f>
        <v/>
      </c>
      <c r="G94" t="str">
        <f t="shared" si="10"/>
        <v>0.001</v>
      </c>
      <c r="H94" t="str">
        <f>"1.492"</f>
        <v>1.492</v>
      </c>
      <c r="I94" t="str">
        <f>"  47             :    30  3d6.(5D).4s.4p.(3P*)  3P*  "</f>
        <v xml:space="preserve">  47             :    30  3d6.(5D).4s.4p.(3P*)  3P*  </v>
      </c>
      <c r="J94" t="str">
        <f>""</f>
        <v/>
      </c>
    </row>
    <row r="95" spans="1:10">
      <c r="A95" s="1" t="str">
        <f t="shared" si="11"/>
        <v>3d7.(4F).4p</v>
      </c>
      <c r="B95" t="str">
        <f>"y 5D*"</f>
        <v>y 5D*</v>
      </c>
      <c r="C95" t="str">
        <f>"0"</f>
        <v>0</v>
      </c>
      <c r="D95" t="str">
        <f>""</f>
        <v/>
      </c>
      <c r="E95" t="str">
        <f>"34121.603"</f>
        <v>34121.603</v>
      </c>
      <c r="F95" t="str">
        <f>""</f>
        <v/>
      </c>
      <c r="G95" t="str">
        <f t="shared" si="10"/>
        <v>0.001</v>
      </c>
      <c r="H95" t="str">
        <f>""</f>
        <v/>
      </c>
      <c r="I95" t="str">
        <f>"  42             :    28  3d6.(5D).4s.4p.(3P*)  3P*  "</f>
        <v xml:space="preserve">  42             :    28  3d6.(5D).4s.4p.(3P*)  3P*  </v>
      </c>
      <c r="J95" t="str">
        <f>""</f>
        <v/>
      </c>
    </row>
    <row r="96" spans="1:10">
      <c r="A96" s="1" t="str">
        <f t="shared" si="11"/>
        <v>3d7.(4F).4p</v>
      </c>
      <c r="B96" t="str">
        <f>"y 5F*"</f>
        <v>y 5F*</v>
      </c>
      <c r="C96" t="str">
        <f>"5"</f>
        <v>5</v>
      </c>
      <c r="D96" t="str">
        <f>""</f>
        <v/>
      </c>
      <c r="E96" t="str">
        <f>"33695.397"</f>
        <v>33695.397</v>
      </c>
      <c r="F96" t="str">
        <f>""</f>
        <v/>
      </c>
      <c r="G96" t="str">
        <f t="shared" si="10"/>
        <v>0.001</v>
      </c>
      <c r="H96" t="str">
        <f>"1.417"</f>
        <v>1.417</v>
      </c>
      <c r="I96" t="str">
        <f>"  84             :    11  3d6.(5D).4s.4p.(1P*)  5F*  "</f>
        <v xml:space="preserve">  84             :    11  3d6.(5D).4s.4p.(1P*)  5F*  </v>
      </c>
      <c r="J96" t="str">
        <f>""</f>
        <v/>
      </c>
    </row>
    <row r="97" spans="1:10">
      <c r="A97" s="1" t="str">
        <f t="shared" si="11"/>
        <v>3d7.(4F).4p</v>
      </c>
      <c r="B97" t="str">
        <f>"y 5F*"</f>
        <v>y 5F*</v>
      </c>
      <c r="C97" t="str">
        <f>"4"</f>
        <v>4</v>
      </c>
      <c r="D97" t="str">
        <f>""</f>
        <v/>
      </c>
      <c r="E97" t="str">
        <f>"34039.516"</f>
        <v>34039.516</v>
      </c>
      <c r="F97" t="str">
        <f>""</f>
        <v/>
      </c>
      <c r="G97" t="str">
        <f t="shared" si="10"/>
        <v>0.001</v>
      </c>
      <c r="H97" t="str">
        <f>"1.344"</f>
        <v>1.344</v>
      </c>
      <c r="I97" t="str">
        <f>"  81             :    12  3d6.(5D).4s.4p.(1P*)  5F*  "</f>
        <v xml:space="preserve">  81             :    12  3d6.(5D).4s.4p.(1P*)  5F*  </v>
      </c>
      <c r="J97" t="str">
        <f>""</f>
        <v/>
      </c>
    </row>
    <row r="98" spans="1:10">
      <c r="A98" s="1" t="str">
        <f t="shared" si="11"/>
        <v>3d7.(4F).4p</v>
      </c>
      <c r="B98" t="str">
        <f>"y 5F*"</f>
        <v>y 5F*</v>
      </c>
      <c r="C98" t="str">
        <f>"3"</f>
        <v>3</v>
      </c>
      <c r="D98" t="str">
        <f>""</f>
        <v/>
      </c>
      <c r="E98" t="str">
        <f>"34328.752"</f>
        <v>34328.752</v>
      </c>
      <c r="F98" t="str">
        <f>""</f>
        <v/>
      </c>
      <c r="G98" t="str">
        <f t="shared" si="10"/>
        <v>0.001</v>
      </c>
      <c r="H98" t="str">
        <f>"1.244"</f>
        <v>1.244</v>
      </c>
      <c r="I98" t="str">
        <f>"  81             :    11  3d6.(5D).4s.4p.(1P*)  5F*  "</f>
        <v xml:space="preserve">  81             :    11  3d6.(5D).4s.4p.(1P*)  5F*  </v>
      </c>
      <c r="J98" t="str">
        <f>""</f>
        <v/>
      </c>
    </row>
    <row r="99" spans="1:10">
      <c r="A99" s="1" t="str">
        <f t="shared" si="11"/>
        <v>3d7.(4F).4p</v>
      </c>
      <c r="B99" t="str">
        <f>"y 5F*"</f>
        <v>y 5F*</v>
      </c>
      <c r="C99" t="str">
        <f>"2"</f>
        <v>2</v>
      </c>
      <c r="D99" t="str">
        <f>""</f>
        <v/>
      </c>
      <c r="E99" t="str">
        <f>"34547.211"</f>
        <v>34547.211</v>
      </c>
      <c r="F99" t="str">
        <f>""</f>
        <v/>
      </c>
      <c r="G99" t="str">
        <f t="shared" si="10"/>
        <v>0.001</v>
      </c>
      <c r="H99" t="str">
        <f>"0.998"</f>
        <v>0.998</v>
      </c>
      <c r="I99" t="str">
        <f>"  82             :    13  3d6.(5D).4s.4p.(1P*)  5F*  "</f>
        <v xml:space="preserve">  82             :    13  3d6.(5D).4s.4p.(1P*)  5F*  </v>
      </c>
      <c r="J99" t="str">
        <f>""</f>
        <v/>
      </c>
    </row>
    <row r="100" spans="1:10">
      <c r="A100" s="1" t="str">
        <f t="shared" si="11"/>
        <v>3d7.(4F).4p</v>
      </c>
      <c r="B100" t="str">
        <f>"y 5F*"</f>
        <v>y 5F*</v>
      </c>
      <c r="C100" t="str">
        <f>"1"</f>
        <v>1</v>
      </c>
      <c r="D100" t="str">
        <f>""</f>
        <v/>
      </c>
      <c r="E100" t="str">
        <f>"34692.148"</f>
        <v>34692.148</v>
      </c>
      <c r="F100" t="str">
        <f>""</f>
        <v/>
      </c>
      <c r="G100" t="str">
        <f t="shared" si="10"/>
        <v>0.001</v>
      </c>
      <c r="H100" t="str">
        <f>"-0.016"</f>
        <v>-0.016</v>
      </c>
      <c r="I100" t="str">
        <f>"  84             :    12  3d6.(5D).4s.4p.(1P*)  5F*  "</f>
        <v xml:space="preserve">  84             :    12  3d6.(5D).4s.4p.(1P*)  5F*  </v>
      </c>
      <c r="J100" t="str">
        <f>""</f>
        <v/>
      </c>
    </row>
    <row r="101" spans="1:10">
      <c r="A101" s="1" t="str">
        <f>"3d6.(5D).4s.4p.(3P*)"</f>
        <v>3d6.(5D).4s.4p.(3P*)</v>
      </c>
      <c r="B101" t="str">
        <f>"z 3P*"</f>
        <v>z 3P*</v>
      </c>
      <c r="C101" t="str">
        <f>"2"</f>
        <v>2</v>
      </c>
      <c r="D101" t="str">
        <f>""</f>
        <v/>
      </c>
      <c r="E101" t="str">
        <f>"33946.933"</f>
        <v>33946.933</v>
      </c>
      <c r="F101" t="str">
        <f>""</f>
        <v/>
      </c>
      <c r="G101" t="str">
        <f t="shared" si="10"/>
        <v>0.001</v>
      </c>
      <c r="H101" t="str">
        <f>"1.493"</f>
        <v>1.493</v>
      </c>
      <c r="I101" t="str">
        <f>"  91             :     4  3d7.(4F).4p           5D*  "</f>
        <v xml:space="preserve">  91             :     4  3d7.(4F).4p           5D*  </v>
      </c>
      <c r="J101" t="str">
        <f>""</f>
        <v/>
      </c>
    </row>
    <row r="102" spans="1:10">
      <c r="A102" s="1" t="str">
        <f>"3d6.(5D).4s.4p.(3P*)"</f>
        <v>3d6.(5D).4s.4p.(3P*)</v>
      </c>
      <c r="B102" t="str">
        <f>"z 3P*"</f>
        <v>z 3P*</v>
      </c>
      <c r="C102" t="str">
        <f>"1"</f>
        <v>1</v>
      </c>
      <c r="D102" t="str">
        <f>""</f>
        <v/>
      </c>
      <c r="E102" t="str">
        <f>"34362.873"</f>
        <v>34362.873</v>
      </c>
      <c r="F102" t="str">
        <f>""</f>
        <v/>
      </c>
      <c r="G102" t="str">
        <f t="shared" si="10"/>
        <v>0.001</v>
      </c>
      <c r="H102" t="str">
        <f>"1.496"</f>
        <v>1.496</v>
      </c>
      <c r="I102" t="str">
        <f>"  50             :    30  3d7.(4F).4p           5D*  "</f>
        <v xml:space="preserve">  50             :    30  3d7.(4F).4p           5D*  </v>
      </c>
      <c r="J102" t="str">
        <f>""</f>
        <v/>
      </c>
    </row>
    <row r="103" spans="1:10">
      <c r="A103" s="1" t="str">
        <f>"3d6.(5D).4s.4p.(3P*)"</f>
        <v>3d6.(5D).4s.4p.(3P*)</v>
      </c>
      <c r="B103" t="str">
        <f>"z 3P*"</f>
        <v>z 3P*</v>
      </c>
      <c r="C103" t="str">
        <f>"0"</f>
        <v>0</v>
      </c>
      <c r="D103" t="str">
        <f>""</f>
        <v/>
      </c>
      <c r="E103" t="str">
        <f>"34555.597"</f>
        <v>34555.597</v>
      </c>
      <c r="F103" t="str">
        <f>""</f>
        <v/>
      </c>
      <c r="G103" t="str">
        <f t="shared" si="10"/>
        <v>0.001</v>
      </c>
      <c r="H103" t="str">
        <f>""</f>
        <v/>
      </c>
      <c r="I103" t="str">
        <f>"  69             :    18  3d7.(4F).4p           5D*  "</f>
        <v xml:space="preserve">  69             :    18  3d7.(4F).4p           5D*  </v>
      </c>
      <c r="J103" t="str">
        <f>""</f>
        <v/>
      </c>
    </row>
    <row r="104" spans="1:10">
      <c r="A104" s="1" t="str">
        <f>"3d6.4s2"</f>
        <v>3d6.4s2</v>
      </c>
      <c r="B104" t="str">
        <f>"b 1D2"</f>
        <v>b 1D2</v>
      </c>
      <c r="C104" t="str">
        <f>"2"</f>
        <v>2</v>
      </c>
      <c r="D104" t="str">
        <f>""</f>
        <v/>
      </c>
      <c r="E104" t="str">
        <f>"34636.792"</f>
        <v>34636.792</v>
      </c>
      <c r="F104" t="str">
        <f>""</f>
        <v/>
      </c>
      <c r="G104" t="str">
        <f t="shared" si="10"/>
        <v>0.001</v>
      </c>
      <c r="H104" t="str">
        <f>""</f>
        <v/>
      </c>
      <c r="I104" t="str">
        <f>"  67             :    20  3d6.4s2               1D1  "</f>
        <v xml:space="preserve">  67             :    20  3d6.4s2               1D1  </v>
      </c>
      <c r="J104" t="str">
        <f>""</f>
        <v/>
      </c>
    </row>
    <row r="105" spans="1:10">
      <c r="A105" s="1" t="str">
        <f t="shared" ref="A105:A115" si="12">"3d7.(4F).4p"</f>
        <v>3d7.(4F).4p</v>
      </c>
      <c r="B105" t="str">
        <f>"z 5G*"</f>
        <v>z 5G*</v>
      </c>
      <c r="C105" t="str">
        <f>"5"</f>
        <v>5</v>
      </c>
      <c r="D105" t="str">
        <f>""</f>
        <v/>
      </c>
      <c r="E105" t="str">
        <f>"34782.421"</f>
        <v>34782.421</v>
      </c>
      <c r="F105" t="str">
        <f>""</f>
        <v/>
      </c>
      <c r="G105" t="str">
        <f t="shared" si="10"/>
        <v>0.001</v>
      </c>
      <c r="H105" t="str">
        <f>"1.218"</f>
        <v>1.218</v>
      </c>
      <c r="I105" t="str">
        <f>"  58             :    35  3d7.(4F).4p           3G*  "</f>
        <v xml:space="preserve">  58             :    35  3d7.(4F).4p           3G*  </v>
      </c>
      <c r="J105" t="str">
        <f>""</f>
        <v/>
      </c>
    </row>
    <row r="106" spans="1:10">
      <c r="A106" s="1" t="str">
        <f t="shared" si="12"/>
        <v>3d7.(4F).4p</v>
      </c>
      <c r="B106" t="str">
        <f>"z 5G*"</f>
        <v>z 5G*</v>
      </c>
      <c r="C106" t="str">
        <f>"6"</f>
        <v>6</v>
      </c>
      <c r="D106" t="str">
        <f>""</f>
        <v/>
      </c>
      <c r="E106" t="str">
        <f>"34843.957"</f>
        <v>34843.957</v>
      </c>
      <c r="F106" t="str">
        <f>""</f>
        <v/>
      </c>
      <c r="G106" t="str">
        <f>"0.002"</f>
        <v>0.002</v>
      </c>
      <c r="H106" t="str">
        <f>"1.332"</f>
        <v>1.332</v>
      </c>
      <c r="I106" t="str">
        <f>"  94             :     4  3d6.(3H).4s.4p.(3P*)  5G*  "</f>
        <v xml:space="preserve">  94             :     4  3d6.(3H).4s.4p.(3P*)  5G*  </v>
      </c>
      <c r="J106" t="str">
        <f>""</f>
        <v/>
      </c>
    </row>
    <row r="107" spans="1:10">
      <c r="A107" s="1" t="str">
        <f t="shared" si="12"/>
        <v>3d7.(4F).4p</v>
      </c>
      <c r="B107" t="str">
        <f>"z 5G*"</f>
        <v>z 5G*</v>
      </c>
      <c r="C107" t="str">
        <f>"4"</f>
        <v>4</v>
      </c>
      <c r="D107" t="str">
        <f>""</f>
        <v/>
      </c>
      <c r="E107" t="str">
        <f>"35257.324"</f>
        <v>35257.324</v>
      </c>
      <c r="F107" t="str">
        <f>""</f>
        <v/>
      </c>
      <c r="G107" t="str">
        <f t="shared" ref="G107:G142" si="13">"0.001"</f>
        <v>0.001</v>
      </c>
      <c r="H107" t="str">
        <f>"1.103"</f>
        <v>1.103</v>
      </c>
      <c r="I107" t="str">
        <f>"  75             :    16  3d7.(4F).4p           3G*  "</f>
        <v xml:space="preserve">  75             :    16  3d7.(4F).4p           3G*  </v>
      </c>
      <c r="J107" t="str">
        <f>""</f>
        <v/>
      </c>
    </row>
    <row r="108" spans="1:10">
      <c r="A108" s="1" t="str">
        <f t="shared" si="12"/>
        <v>3d7.(4F).4p</v>
      </c>
      <c r="B108" t="str">
        <f>"z 5G*"</f>
        <v>z 5G*</v>
      </c>
      <c r="C108" t="str">
        <f>"3"</f>
        <v>3</v>
      </c>
      <c r="D108" t="str">
        <f>""</f>
        <v/>
      </c>
      <c r="E108" t="str">
        <f>"35611.625"</f>
        <v>35611.625</v>
      </c>
      <c r="F108" t="str">
        <f>""</f>
        <v/>
      </c>
      <c r="G108" t="str">
        <f t="shared" si="13"/>
        <v>0.001</v>
      </c>
      <c r="H108" t="str">
        <f>"0.887"</f>
        <v>0.887</v>
      </c>
      <c r="I108" t="str">
        <f>"  86             :     6  3d7.(4F).4p           3G*  "</f>
        <v xml:space="preserve">  86             :     6  3d7.(4F).4p           3G*  </v>
      </c>
      <c r="J108" t="str">
        <f>""</f>
        <v/>
      </c>
    </row>
    <row r="109" spans="1:10">
      <c r="A109" s="1" t="str">
        <f t="shared" si="12"/>
        <v>3d7.(4F).4p</v>
      </c>
      <c r="B109" t="str">
        <f>"z 5G*"</f>
        <v>z 5G*</v>
      </c>
      <c r="C109" t="str">
        <f>"2"</f>
        <v>2</v>
      </c>
      <c r="D109" t="str">
        <f>""</f>
        <v/>
      </c>
      <c r="E109" t="str">
        <f>"35856.402"</f>
        <v>35856.402</v>
      </c>
      <c r="F109" t="str">
        <f>""</f>
        <v/>
      </c>
      <c r="G109" t="str">
        <f t="shared" si="13"/>
        <v>0.001</v>
      </c>
      <c r="H109" t="str">
        <f>"0.335"</f>
        <v>0.335</v>
      </c>
      <c r="I109" t="str">
        <f>"  92             :     5  3d6.(3H).4s.4p.(3P*)  5G*  "</f>
        <v xml:space="preserve">  92             :     5  3d6.(3H).4s.4p.(3P*)  5G*  </v>
      </c>
      <c r="J109" t="str">
        <f>""</f>
        <v/>
      </c>
    </row>
    <row r="110" spans="1:10">
      <c r="A110" s="1" t="str">
        <f t="shared" si="12"/>
        <v>3d7.(4F).4p</v>
      </c>
      <c r="B110" t="str">
        <f>"z 3G*"</f>
        <v>z 3G*</v>
      </c>
      <c r="C110" t="str">
        <f>"5"</f>
        <v>5</v>
      </c>
      <c r="D110" t="str">
        <f>""</f>
        <v/>
      </c>
      <c r="E110" t="str">
        <f>"35379.208"</f>
        <v>35379.208</v>
      </c>
      <c r="F110" t="str">
        <f>""</f>
        <v/>
      </c>
      <c r="G110" t="str">
        <f t="shared" si="13"/>
        <v>0.001</v>
      </c>
      <c r="H110" t="str">
        <f>"1.248"</f>
        <v>1.248</v>
      </c>
      <c r="I110" t="str">
        <f>"  61             :    33  3d7.(4F).4p           5G*  "</f>
        <v xml:space="preserve">  61             :    33  3d7.(4F).4p           5G*  </v>
      </c>
      <c r="J110" t="str">
        <f>""</f>
        <v/>
      </c>
    </row>
    <row r="111" spans="1:10">
      <c r="A111" s="1" t="str">
        <f t="shared" si="12"/>
        <v>3d7.(4F).4p</v>
      </c>
      <c r="B111" t="str">
        <f>"z 3G*"</f>
        <v>z 3G*</v>
      </c>
      <c r="C111" t="str">
        <f>"4"</f>
        <v>4</v>
      </c>
      <c r="D111" t="str">
        <f>""</f>
        <v/>
      </c>
      <c r="E111" t="str">
        <f>"35767.564"</f>
        <v>35767.564</v>
      </c>
      <c r="F111" t="str">
        <f>""</f>
        <v/>
      </c>
      <c r="G111" t="str">
        <f t="shared" si="13"/>
        <v>0.001</v>
      </c>
      <c r="H111" t="str">
        <f>"1.100"</f>
        <v>1.100</v>
      </c>
      <c r="I111" t="str">
        <f>"  78             :    16  3d7.(4F).4p           5G*  "</f>
        <v xml:space="preserve">  78             :    16  3d7.(4F).4p           5G*  </v>
      </c>
      <c r="J111" t="str">
        <f>""</f>
        <v/>
      </c>
    </row>
    <row r="112" spans="1:10">
      <c r="A112" s="1" t="str">
        <f t="shared" si="12"/>
        <v>3d7.(4F).4p</v>
      </c>
      <c r="B112" t="str">
        <f>"z 3G*"</f>
        <v>z 3G*</v>
      </c>
      <c r="C112" t="str">
        <f>"3"</f>
        <v>3</v>
      </c>
      <c r="D112" t="str">
        <f>""</f>
        <v/>
      </c>
      <c r="E112" t="str">
        <f>"36079.372"</f>
        <v>36079.372</v>
      </c>
      <c r="F112" t="str">
        <f>""</f>
        <v/>
      </c>
      <c r="G112" t="str">
        <f t="shared" si="13"/>
        <v>0.001</v>
      </c>
      <c r="H112" t="str">
        <f>"0.791"</f>
        <v>0.791</v>
      </c>
      <c r="I112" t="str">
        <f>"  89             :     6  3d7.(4F).4p           5G*  "</f>
        <v xml:space="preserve">  89             :     6  3d7.(4F).4p           5G*  </v>
      </c>
      <c r="J112" t="str">
        <f>""</f>
        <v/>
      </c>
    </row>
    <row r="113" spans="1:10">
      <c r="A113" s="1" t="str">
        <f t="shared" si="12"/>
        <v>3d7.(4F).4p</v>
      </c>
      <c r="B113" t="str">
        <f>"y 3F*"</f>
        <v>y 3F*</v>
      </c>
      <c r="C113" t="str">
        <f>"4"</f>
        <v>4</v>
      </c>
      <c r="D113" t="str">
        <f>""</f>
        <v/>
      </c>
      <c r="E113" t="str">
        <f>"36686.176"</f>
        <v>36686.176</v>
      </c>
      <c r="F113" t="str">
        <f>""</f>
        <v/>
      </c>
      <c r="G113" t="str">
        <f t="shared" si="13"/>
        <v>0.001</v>
      </c>
      <c r="H113" t="str">
        <f>"1.246"</f>
        <v>1.246</v>
      </c>
      <c r="I113" t="str">
        <f>"  86             :     5  3d6.(5D).4s.4p.(3P*)  3F*  "</f>
        <v xml:space="preserve">  86             :     5  3d6.(5D).4s.4p.(3P*)  3F*  </v>
      </c>
      <c r="J113" t="str">
        <f>""</f>
        <v/>
      </c>
    </row>
    <row r="114" spans="1:10">
      <c r="A114" s="1" t="str">
        <f t="shared" si="12"/>
        <v>3d7.(4F).4p</v>
      </c>
      <c r="B114" t="str">
        <f>"y 3F*"</f>
        <v>y 3F*</v>
      </c>
      <c r="C114" t="str">
        <f>"3"</f>
        <v>3</v>
      </c>
      <c r="D114" t="str">
        <f>""</f>
        <v/>
      </c>
      <c r="E114" t="str">
        <f>"37162.746"</f>
        <v>37162.746</v>
      </c>
      <c r="F114" t="str">
        <f>""</f>
        <v/>
      </c>
      <c r="G114" t="str">
        <f t="shared" si="13"/>
        <v>0.001</v>
      </c>
      <c r="H114" t="str">
        <f>"1.086"</f>
        <v>1.086</v>
      </c>
      <c r="I114" t="str">
        <f>"  84             :     5  3d6.(5D).4s.4p.(3P*)  3F*  "</f>
        <v xml:space="preserve">  84             :     5  3d6.(5D).4s.4p.(3P*)  3F*  </v>
      </c>
      <c r="J114" t="str">
        <f>""</f>
        <v/>
      </c>
    </row>
    <row r="115" spans="1:10">
      <c r="A115" s="1" t="str">
        <f t="shared" si="12"/>
        <v>3d7.(4F).4p</v>
      </c>
      <c r="B115" t="str">
        <f>"y 3F*"</f>
        <v>y 3F*</v>
      </c>
      <c r="C115" t="str">
        <f>"2"</f>
        <v>2</v>
      </c>
      <c r="D115" t="str">
        <f>""</f>
        <v/>
      </c>
      <c r="E115" t="str">
        <f>"37521.161"</f>
        <v>37521.161</v>
      </c>
      <c r="F115" t="str">
        <f>""</f>
        <v/>
      </c>
      <c r="G115" t="str">
        <f t="shared" si="13"/>
        <v>0.001</v>
      </c>
      <c r="H115" t="str">
        <f>"0.688"</f>
        <v>0.688</v>
      </c>
      <c r="I115" t="str">
        <f>"  87             :     5  3d6.(5D).4s.4p.(3P*)  3F*  "</f>
        <v xml:space="preserve">  87             :     5  3d6.(5D).4s.4p.(3P*)  3F*  </v>
      </c>
      <c r="J115" t="str">
        <f>""</f>
        <v/>
      </c>
    </row>
    <row r="116" spans="1:10">
      <c r="A116" s="1" t="str">
        <f>"3d6.(5D).4s.4p.(1P*)"</f>
        <v>3d6.(5D).4s.4p.(1P*)</v>
      </c>
      <c r="B116" t="str">
        <f>"y 5P*"</f>
        <v>y 5P*</v>
      </c>
      <c r="C116" t="str">
        <f>"3"</f>
        <v>3</v>
      </c>
      <c r="D116" t="str">
        <f>""</f>
        <v/>
      </c>
      <c r="E116" t="str">
        <f>"36766.966"</f>
        <v>36766.966</v>
      </c>
      <c r="F116" t="str">
        <f>""</f>
        <v/>
      </c>
      <c r="G116" t="str">
        <f t="shared" si="13"/>
        <v>0.001</v>
      </c>
      <c r="H116" t="str">
        <f>"1.661"</f>
        <v>1.661</v>
      </c>
      <c r="I116" t="str">
        <f>"  60             :    34  3d5.(6S).4s2.4p       5P*  "</f>
        <v xml:space="preserve">  60             :    34  3d5.(6S).4s2.4p       5P*  </v>
      </c>
      <c r="J116" t="str">
        <f>""</f>
        <v/>
      </c>
    </row>
    <row r="117" spans="1:10">
      <c r="A117" s="1" t="str">
        <f>"3d6.(5D).4s.4p.(1P*)"</f>
        <v>3d6.(5D).4s.4p.(1P*)</v>
      </c>
      <c r="B117" t="str">
        <f>"y 5P*"</f>
        <v>y 5P*</v>
      </c>
      <c r="C117" t="str">
        <f>"2"</f>
        <v>2</v>
      </c>
      <c r="D117" t="str">
        <f>""</f>
        <v/>
      </c>
      <c r="E117" t="str">
        <f>"37157.566"</f>
        <v>37157.566</v>
      </c>
      <c r="F117" t="str">
        <f>""</f>
        <v/>
      </c>
      <c r="G117" t="str">
        <f t="shared" si="13"/>
        <v>0.001</v>
      </c>
      <c r="H117" t="str">
        <f>"1.836"</f>
        <v>1.836</v>
      </c>
      <c r="I117" t="str">
        <f>"  60             :    35  3d5.(6S).4s2.4p       5P*  "</f>
        <v xml:space="preserve">  60             :    35  3d5.(6S).4s2.4p       5P*  </v>
      </c>
      <c r="J117" t="str">
        <f>""</f>
        <v/>
      </c>
    </row>
    <row r="118" spans="1:10">
      <c r="A118" s="1" t="str">
        <f>"3d6.(5D).4s.4p.(1P*)"</f>
        <v>3d6.(5D).4s.4p.(1P*)</v>
      </c>
      <c r="B118" t="str">
        <f>"y 5P*"</f>
        <v>y 5P*</v>
      </c>
      <c r="C118" t="str">
        <f>"1"</f>
        <v>1</v>
      </c>
      <c r="D118" t="str">
        <f>""</f>
        <v/>
      </c>
      <c r="E118" t="str">
        <f>"37409.555"</f>
        <v>37409.555</v>
      </c>
      <c r="F118" t="str">
        <f>""</f>
        <v/>
      </c>
      <c r="G118" t="str">
        <f t="shared" si="13"/>
        <v>0.001</v>
      </c>
      <c r="H118" t="str">
        <f>"2.502"</f>
        <v>2.502</v>
      </c>
      <c r="I118" t="str">
        <f>"  59             :    36  3d5.(6S).4s2.4p       5P*  "</f>
        <v xml:space="preserve">  59             :    36  3d5.(6S).4s2.4p       5P*  </v>
      </c>
      <c r="J118" t="str">
        <f>""</f>
        <v/>
      </c>
    </row>
    <row r="119" spans="1:10">
      <c r="A119" s="1" t="str">
        <f>"3d7.(2F).4s"</f>
        <v>3d7.(2F).4s</v>
      </c>
      <c r="B119" t="str">
        <f>"d 3F"</f>
        <v>d 3F</v>
      </c>
      <c r="C119" t="str">
        <f>"2"</f>
        <v>2</v>
      </c>
      <c r="D119" t="str">
        <f>""</f>
        <v/>
      </c>
      <c r="E119" t="str">
        <f>"36940.590"</f>
        <v>36940.590</v>
      </c>
      <c r="F119" t="str">
        <f>""</f>
        <v/>
      </c>
      <c r="G119" t="str">
        <f t="shared" si="13"/>
        <v>0.001</v>
      </c>
      <c r="H119" t="str">
        <f>""</f>
        <v/>
      </c>
      <c r="I119" t="str">
        <f>"  92             :     6  3d8                   3F   "</f>
        <v xml:space="preserve">  92             :     6  3d8                   3F   </v>
      </c>
      <c r="J119" t="str">
        <f>""</f>
        <v/>
      </c>
    </row>
    <row r="120" spans="1:10">
      <c r="A120" s="1" t="str">
        <f>"3d7.(2F).4s"</f>
        <v>3d7.(2F).4s</v>
      </c>
      <c r="B120" t="str">
        <f>"d 3F"</f>
        <v>d 3F</v>
      </c>
      <c r="C120" t="str">
        <f>"3"</f>
        <v>3</v>
      </c>
      <c r="D120" t="str">
        <f>""</f>
        <v/>
      </c>
      <c r="E120" t="str">
        <f>"36975.588"</f>
        <v>36975.588</v>
      </c>
      <c r="F120" t="str">
        <f>""</f>
        <v/>
      </c>
      <c r="G120" t="str">
        <f t="shared" si="13"/>
        <v>0.001</v>
      </c>
      <c r="H120" t="str">
        <f>""</f>
        <v/>
      </c>
      <c r="I120" t="str">
        <f>"  94             :     5  3d8                   3F   "</f>
        <v xml:space="preserve">  94             :     5  3d8                   3F   </v>
      </c>
      <c r="J120" t="str">
        <f>""</f>
        <v/>
      </c>
    </row>
    <row r="121" spans="1:10">
      <c r="A121" s="1" t="str">
        <f>"3d7.(2F).4s"</f>
        <v>3d7.(2F).4s</v>
      </c>
      <c r="B121" t="str">
        <f>"d 3F"</f>
        <v>d 3F</v>
      </c>
      <c r="C121" t="str">
        <f>"4"</f>
        <v>4</v>
      </c>
      <c r="D121" t="str">
        <f>""</f>
        <v/>
      </c>
      <c r="E121" t="str">
        <f>"37045.934"</f>
        <v>37045.934</v>
      </c>
      <c r="F121" t="str">
        <f>""</f>
        <v/>
      </c>
      <c r="G121" t="str">
        <f t="shared" si="13"/>
        <v>0.001</v>
      </c>
      <c r="H121" t="str">
        <f>""</f>
        <v/>
      </c>
      <c r="I121" t="str">
        <f>"  96             :     3  3d8                   3F   "</f>
        <v xml:space="preserve">  96             :     3  3d8                   3F   </v>
      </c>
      <c r="J121" t="str">
        <f>""</f>
        <v/>
      </c>
    </row>
    <row r="122" spans="1:10">
      <c r="A122" s="1" t="str">
        <f>"3d7.(4F).4p"</f>
        <v>3d7.(4F).4p</v>
      </c>
      <c r="B122" t="str">
        <f>"y 3D*"</f>
        <v>y 3D*</v>
      </c>
      <c r="C122" t="str">
        <f>"3"</f>
        <v>3</v>
      </c>
      <c r="D122" t="str">
        <f>""</f>
        <v/>
      </c>
      <c r="E122" t="str">
        <f>"38175.355"</f>
        <v>38175.355</v>
      </c>
      <c r="F122" t="str">
        <f>""</f>
        <v/>
      </c>
      <c r="G122" t="str">
        <f t="shared" si="13"/>
        <v>0.001</v>
      </c>
      <c r="H122" t="str">
        <f>"1.324"</f>
        <v>1.324</v>
      </c>
      <c r="I122" t="str">
        <f>"  84             :     8  3d6.(5D).4s.4p.(3P*)  3D*  "</f>
        <v xml:space="preserve">  84             :     8  3d6.(5D).4s.4p.(3P*)  3D*  </v>
      </c>
      <c r="J122" t="str">
        <f>""</f>
        <v/>
      </c>
    </row>
    <row r="123" spans="1:10">
      <c r="A123" s="1" t="str">
        <f>"3d7.(4F).4p"</f>
        <v>3d7.(4F).4p</v>
      </c>
      <c r="B123" t="str">
        <f>"y 3D*"</f>
        <v>y 3D*</v>
      </c>
      <c r="C123" t="str">
        <f>"2"</f>
        <v>2</v>
      </c>
      <c r="D123" t="str">
        <f>""</f>
        <v/>
      </c>
      <c r="E123" t="str">
        <f>"38678.039"</f>
        <v>38678.039</v>
      </c>
      <c r="F123" t="str">
        <f>""</f>
        <v/>
      </c>
      <c r="G123" t="str">
        <f t="shared" si="13"/>
        <v>0.001</v>
      </c>
      <c r="H123" t="str">
        <f>"1.151"</f>
        <v>1.151</v>
      </c>
      <c r="I123" t="str">
        <f>"  85             :     7  3d6.(5D).4s.4p.(3P*)  3D*  "</f>
        <v xml:space="preserve">  85             :     7  3d6.(5D).4s.4p.(3P*)  3D*  </v>
      </c>
      <c r="J123" t="str">
        <f>""</f>
        <v/>
      </c>
    </row>
    <row r="124" spans="1:10">
      <c r="A124" s="1" t="str">
        <f>"3d7.(4F).4p"</f>
        <v>3d7.(4F).4p</v>
      </c>
      <c r="B124" t="str">
        <f>"y 3D*"</f>
        <v>y 3D*</v>
      </c>
      <c r="C124" t="str">
        <f>"1"</f>
        <v>1</v>
      </c>
      <c r="D124" t="str">
        <f>""</f>
        <v/>
      </c>
      <c r="E124" t="str">
        <f>"38995.736"</f>
        <v>38995.736</v>
      </c>
      <c r="F124" t="str">
        <f>""</f>
        <v/>
      </c>
      <c r="G124" t="str">
        <f t="shared" si="13"/>
        <v>0.001</v>
      </c>
      <c r="H124" t="str">
        <f>"0.493"</f>
        <v>0.493</v>
      </c>
      <c r="I124" t="str">
        <f>"  86             :     7  3d6.(5D).4s.4p.(3P*)  3D*  "</f>
        <v xml:space="preserve">  86             :     7  3d6.(5D).4s.4p.(3P*)  3D*  </v>
      </c>
      <c r="J124" t="str">
        <f>""</f>
        <v/>
      </c>
    </row>
    <row r="125" spans="1:10">
      <c r="A125" s="1" t="str">
        <f>"3d6.(5D).4s.4p.(1P*)"</f>
        <v>3d6.(5D).4s.4p.(1P*)</v>
      </c>
      <c r="B125" t="str">
        <f>"x 5D*"</f>
        <v>x 5D*</v>
      </c>
      <c r="C125" t="str">
        <f>"4"</f>
        <v>4</v>
      </c>
      <c r="D125" t="str">
        <f>""</f>
        <v/>
      </c>
      <c r="E125" t="str">
        <f>"39625.804"</f>
        <v>39625.804</v>
      </c>
      <c r="F125" t="str">
        <f>""</f>
        <v/>
      </c>
      <c r="G125" t="str">
        <f t="shared" si="13"/>
        <v>0.001</v>
      </c>
      <c r="H125" t="str">
        <f>"1.489"</f>
        <v>1.489</v>
      </c>
      <c r="I125" t="str">
        <f>"  55             :    18  3d7.(4F).4p           5D*  "</f>
        <v xml:space="preserve">  55             :    18  3d7.(4F).4p           5D*  </v>
      </c>
      <c r="J125" t="str">
        <f>""</f>
        <v/>
      </c>
    </row>
    <row r="126" spans="1:10">
      <c r="A126" s="1" t="str">
        <f>"3d6.(5D).4s.4p.(1P*)"</f>
        <v>3d6.(5D).4s.4p.(1P*)</v>
      </c>
      <c r="B126" t="str">
        <f>"x 5D*"</f>
        <v>x 5D*</v>
      </c>
      <c r="C126" t="str">
        <f>"3"</f>
        <v>3</v>
      </c>
      <c r="D126" t="str">
        <f>""</f>
        <v/>
      </c>
      <c r="E126" t="str">
        <f>"39969.853"</f>
        <v>39969.853</v>
      </c>
      <c r="F126" t="str">
        <f>""</f>
        <v/>
      </c>
      <c r="G126" t="str">
        <f t="shared" si="13"/>
        <v>0.001</v>
      </c>
      <c r="H126" t="str">
        <f>"1.504"</f>
        <v>1.504</v>
      </c>
      <c r="I126" t="str">
        <f>"  54             :    19  3d7.(4F).4p           5D*  "</f>
        <v xml:space="preserve">  54             :    19  3d7.(4F).4p           5D*  </v>
      </c>
      <c r="J126" t="str">
        <f>""</f>
        <v/>
      </c>
    </row>
    <row r="127" spans="1:10">
      <c r="A127" s="1" t="str">
        <f>"3d6.(5D).4s.4p.(1P*)"</f>
        <v>3d6.(5D).4s.4p.(1P*)</v>
      </c>
      <c r="B127" t="str">
        <f>"x 5D*"</f>
        <v>x 5D*</v>
      </c>
      <c r="C127" t="str">
        <f>"2"</f>
        <v>2</v>
      </c>
      <c r="D127" t="str">
        <f>""</f>
        <v/>
      </c>
      <c r="E127" t="str">
        <f>"40231.336"</f>
        <v>40231.336</v>
      </c>
      <c r="F127" t="str">
        <f>""</f>
        <v/>
      </c>
      <c r="G127" t="str">
        <f t="shared" si="13"/>
        <v>0.001</v>
      </c>
      <c r="H127" t="str">
        <f>"1.501"</f>
        <v>1.501</v>
      </c>
      <c r="I127" t="str">
        <f>"  53             :    19  3d7.(4F).4p           5D*  "</f>
        <v xml:space="preserve">  53             :    19  3d7.(4F).4p           5D*  </v>
      </c>
      <c r="J127" t="str">
        <f>""</f>
        <v/>
      </c>
    </row>
    <row r="128" spans="1:10">
      <c r="A128" s="1" t="str">
        <f>"3d6.(5D).4s.4p.(1P*)"</f>
        <v>3d6.(5D).4s.4p.(1P*)</v>
      </c>
      <c r="B128" t="str">
        <f>"x 5D*"</f>
        <v>x 5D*</v>
      </c>
      <c r="C128" t="str">
        <f>"1"</f>
        <v>1</v>
      </c>
      <c r="D128" t="str">
        <f>""</f>
        <v/>
      </c>
      <c r="E128" t="str">
        <f>"40404.518"</f>
        <v>40404.518</v>
      </c>
      <c r="F128" t="str">
        <f>""</f>
        <v/>
      </c>
      <c r="G128" t="str">
        <f t="shared" si="13"/>
        <v>0.001</v>
      </c>
      <c r="H128" t="str">
        <f>"1.498"</f>
        <v>1.498</v>
      </c>
      <c r="I128" t="str">
        <f>"  53             :    20  3d7.(4F).4p           5D*  "</f>
        <v xml:space="preserve">  53             :    20  3d7.(4F).4p           5D*  </v>
      </c>
      <c r="J128" t="str">
        <f>""</f>
        <v/>
      </c>
    </row>
    <row r="129" spans="1:10">
      <c r="A129" s="1" t="str">
        <f>"3d6.(5D).4s.4p.(1P*)"</f>
        <v>3d6.(5D).4s.4p.(1P*)</v>
      </c>
      <c r="B129" t="str">
        <f>"x 5D*"</f>
        <v>x 5D*</v>
      </c>
      <c r="C129" t="str">
        <f>"0"</f>
        <v>0</v>
      </c>
      <c r="D129" t="str">
        <f>""</f>
        <v/>
      </c>
      <c r="E129" t="str">
        <f>"40491.284"</f>
        <v>40491.284</v>
      </c>
      <c r="F129" t="str">
        <f>""</f>
        <v/>
      </c>
      <c r="G129" t="str">
        <f t="shared" si="13"/>
        <v>0.001</v>
      </c>
      <c r="H129" t="str">
        <f>""</f>
        <v/>
      </c>
      <c r="I129" t="str">
        <f>"  53             :    20  3d7.(4F).4p           5D*  "</f>
        <v xml:space="preserve">  53             :    20  3d7.(4F).4p           5D*  </v>
      </c>
      <c r="J129" t="str">
        <f>""</f>
        <v/>
      </c>
    </row>
    <row r="130" spans="1:10">
      <c r="A130" s="1" t="str">
        <f>"3d5.(6S).4s2.4p"</f>
        <v>3d5.(6S).4s2.4p</v>
      </c>
      <c r="B130" t="str">
        <f>"y 7P*"</f>
        <v>y 7P*</v>
      </c>
      <c r="C130" t="str">
        <f>"2"</f>
        <v>2</v>
      </c>
      <c r="D130" t="str">
        <f>""</f>
        <v/>
      </c>
      <c r="E130" t="str">
        <f>"40052.035"</f>
        <v>40052.035</v>
      </c>
      <c r="F130" t="str">
        <f>""</f>
        <v/>
      </c>
      <c r="G130" t="str">
        <f t="shared" si="13"/>
        <v>0.001</v>
      </c>
      <c r="H130" t="str">
        <f>"2.340"</f>
        <v>2.340</v>
      </c>
      <c r="I130" t="str">
        <f>"  97                                                 "</f>
        <v xml:space="preserve">  97                                                 </v>
      </c>
      <c r="J130" t="str">
        <f>""</f>
        <v/>
      </c>
    </row>
    <row r="131" spans="1:10">
      <c r="A131" s="1" t="str">
        <f>"3d5.(6S).4s2.4p"</f>
        <v>3d5.(6S).4s2.4p</v>
      </c>
      <c r="B131" t="str">
        <f>"y 7P*"</f>
        <v>y 7P*</v>
      </c>
      <c r="C131" t="str">
        <f>"3"</f>
        <v>3</v>
      </c>
      <c r="D131" t="str">
        <f>""</f>
        <v/>
      </c>
      <c r="E131" t="str">
        <f>"40207.091"</f>
        <v>40207.091</v>
      </c>
      <c r="F131" t="str">
        <f>""</f>
        <v/>
      </c>
      <c r="G131" t="str">
        <f t="shared" si="13"/>
        <v>0.001</v>
      </c>
      <c r="H131" t="str">
        <f>"1.908"</f>
        <v>1.908</v>
      </c>
      <c r="I131" t="str">
        <f>"  98                                                 "</f>
        <v xml:space="preserve">  98                                                 </v>
      </c>
      <c r="J131" t="str">
        <f>""</f>
        <v/>
      </c>
    </row>
    <row r="132" spans="1:10">
      <c r="A132" s="1" t="str">
        <f>"3d5.(6S).4s2.4p"</f>
        <v>3d5.(6S).4s2.4p</v>
      </c>
      <c r="B132" t="str">
        <f>"y 7P*"</f>
        <v>y 7P*</v>
      </c>
      <c r="C132" t="str">
        <f>"4"</f>
        <v>4</v>
      </c>
      <c r="D132" t="str">
        <f>""</f>
        <v/>
      </c>
      <c r="E132" t="str">
        <f>"40421.938"</f>
        <v>40421.938</v>
      </c>
      <c r="F132" t="str">
        <f>""</f>
        <v/>
      </c>
      <c r="G132" t="str">
        <f t="shared" si="13"/>
        <v>0.001</v>
      </c>
      <c r="H132" t="str">
        <f>"1.75?"</f>
        <v>1.75?</v>
      </c>
      <c r="I132" t="str">
        <f>"  91             :     7  3d6.(5D).4s.4p.(1P*)  5F*  "</f>
        <v xml:space="preserve">  91             :     7  3d6.(5D).4s.4p.(1P*)  5F*  </v>
      </c>
      <c r="J132" t="str">
        <f>""</f>
        <v/>
      </c>
    </row>
    <row r="133" spans="1:10">
      <c r="A133" s="1" t="str">
        <f>"3d6.(5D).4s.4p.(1P*)"</f>
        <v>3d6.(5D).4s.4p.(1P*)</v>
      </c>
      <c r="B133" t="str">
        <f>"x 5F*"</f>
        <v>x 5F*</v>
      </c>
      <c r="C133" t="str">
        <f>"5"</f>
        <v>5</v>
      </c>
      <c r="D133" t="str">
        <f>""</f>
        <v/>
      </c>
      <c r="E133" t="str">
        <f>"40257.314"</f>
        <v>40257.314</v>
      </c>
      <c r="F133" t="str">
        <f>""</f>
        <v/>
      </c>
      <c r="G133" t="str">
        <f t="shared" si="13"/>
        <v>0.001</v>
      </c>
      <c r="H133" t="str">
        <f>"1.390"</f>
        <v>1.390</v>
      </c>
      <c r="I133" t="str">
        <f>"  90             :     5  3d7.(4F).4p           5F*  "</f>
        <v xml:space="preserve">  90             :     5  3d7.(4F).4p           5F*  </v>
      </c>
      <c r="J133" t="str">
        <f>""</f>
        <v/>
      </c>
    </row>
    <row r="134" spans="1:10">
      <c r="A134" s="1" t="str">
        <f>"3d6.(5D).4s.4p.(1P*)"</f>
        <v>3d6.(5D).4s.4p.(1P*)</v>
      </c>
      <c r="B134" t="str">
        <f>"x 5F*"</f>
        <v>x 5F*</v>
      </c>
      <c r="C134" t="str">
        <f>"4"</f>
        <v>4</v>
      </c>
      <c r="D134" t="str">
        <f>""</f>
        <v/>
      </c>
      <c r="E134" t="str">
        <f>"40594.432"</f>
        <v>40594.432</v>
      </c>
      <c r="F134" t="str">
        <f>""</f>
        <v/>
      </c>
      <c r="G134" t="str">
        <f t="shared" si="13"/>
        <v>0.001</v>
      </c>
      <c r="H134" t="str">
        <f>"1.328"</f>
        <v>1.328</v>
      </c>
      <c r="I134" t="str">
        <f>"  82             :     5  3d7.(4F).4p           5F*  "</f>
        <v xml:space="preserve">  82             :     5  3d7.(4F).4p           5F*  </v>
      </c>
      <c r="J134" t="str">
        <f>""</f>
        <v/>
      </c>
    </row>
    <row r="135" spans="1:10">
      <c r="A135" s="1" t="str">
        <f>"3d6.(5D).4s.4p.(1P*)"</f>
        <v>3d6.(5D).4s.4p.(1P*)</v>
      </c>
      <c r="B135" t="str">
        <f>"x 5F*"</f>
        <v>x 5F*</v>
      </c>
      <c r="C135" t="str">
        <f>"3"</f>
        <v>3</v>
      </c>
      <c r="D135" t="str">
        <f>""</f>
        <v/>
      </c>
      <c r="E135" t="str">
        <f>"40842.154"</f>
        <v>40842.154</v>
      </c>
      <c r="F135" t="str">
        <f>""</f>
        <v/>
      </c>
      <c r="G135" t="str">
        <f t="shared" si="13"/>
        <v>0.001</v>
      </c>
      <c r="H135" t="str">
        <f>"1.254"</f>
        <v>1.254</v>
      </c>
      <c r="I135" t="str">
        <f>"  88             :     5  3d7.(4F).4p           5F*  "</f>
        <v xml:space="preserve">  88             :     5  3d7.(4F).4p           5F*  </v>
      </c>
      <c r="J135" t="str">
        <f>""</f>
        <v/>
      </c>
    </row>
    <row r="136" spans="1:10">
      <c r="A136" s="1" t="str">
        <f>"3d6.(5D).4s.4p.(1P*)"</f>
        <v>3d6.(5D).4s.4p.(1P*)</v>
      </c>
      <c r="B136" t="str">
        <f>"x 5F*"</f>
        <v>x 5F*</v>
      </c>
      <c r="C136" t="str">
        <f>"2"</f>
        <v>2</v>
      </c>
      <c r="D136" t="str">
        <f>""</f>
        <v/>
      </c>
      <c r="E136" t="str">
        <f>"41018.051"</f>
        <v>41018.051</v>
      </c>
      <c r="F136" t="str">
        <f>""</f>
        <v/>
      </c>
      <c r="G136" t="str">
        <f t="shared" si="13"/>
        <v>0.001</v>
      </c>
      <c r="H136" t="str">
        <f>"0.998"</f>
        <v>0.998</v>
      </c>
      <c r="I136" t="str">
        <f>"  88             :     5  3d7.(4F).4p           5F*  "</f>
        <v xml:space="preserve">  88             :     5  3d7.(4F).4p           5F*  </v>
      </c>
      <c r="J136" t="str">
        <f>""</f>
        <v/>
      </c>
    </row>
    <row r="137" spans="1:10">
      <c r="A137" s="1" t="str">
        <f>"3d6.(5D).4s.4p.(1P*)"</f>
        <v>3d6.(5D).4s.4p.(1P*)</v>
      </c>
      <c r="B137" t="str">
        <f>"x 5F*"</f>
        <v>x 5F*</v>
      </c>
      <c r="C137" t="str">
        <f>"1"</f>
        <v>1</v>
      </c>
      <c r="D137" t="str">
        <f>""</f>
        <v/>
      </c>
      <c r="E137" t="str">
        <f>"41130.599"</f>
        <v>41130.599</v>
      </c>
      <c r="F137" t="str">
        <f>""</f>
        <v/>
      </c>
      <c r="G137" t="str">
        <f t="shared" si="13"/>
        <v>0.001</v>
      </c>
      <c r="H137" t="str">
        <f>"-0.006"</f>
        <v>-0.006</v>
      </c>
      <c r="I137" t="str">
        <f>"  88             :     5  3d7.(4F).4p           5F*  "</f>
        <v xml:space="preserve">  88             :     5  3d7.(4F).4p           5F*  </v>
      </c>
      <c r="J137" t="str">
        <f>""</f>
        <v/>
      </c>
    </row>
    <row r="138" spans="1:10">
      <c r="A138" s="1" t="str">
        <f>"3d8"</f>
        <v>3d8</v>
      </c>
      <c r="B138" t="str">
        <f>"3P"</f>
        <v>3P</v>
      </c>
      <c r="C138" t="str">
        <f>"2"</f>
        <v>2</v>
      </c>
      <c r="D138" t="str">
        <f>""</f>
        <v/>
      </c>
      <c r="E138" t="str">
        <f>"40871.412"</f>
        <v>40871.412</v>
      </c>
      <c r="F138" t="str">
        <f>""</f>
        <v/>
      </c>
      <c r="G138" t="str">
        <f t="shared" si="13"/>
        <v>0.001</v>
      </c>
      <c r="H138" t="str">
        <f>""</f>
        <v/>
      </c>
      <c r="I138" t="str">
        <f>"  85             :     6  3d6.4s2               3P2  "</f>
        <v xml:space="preserve">  85             :     6  3d6.4s2               3P2  </v>
      </c>
      <c r="J138" t="str">
        <f>""</f>
        <v/>
      </c>
    </row>
    <row r="139" spans="1:10">
      <c r="A139" s="1" t="str">
        <f>"3d8"</f>
        <v>3d8</v>
      </c>
      <c r="B139" t="str">
        <f>"3P"</f>
        <v>3P</v>
      </c>
      <c r="C139" t="str">
        <f>"1"</f>
        <v>1</v>
      </c>
      <c r="D139" t="str">
        <f>""</f>
        <v/>
      </c>
      <c r="E139" t="str">
        <f>"41178.412"</f>
        <v>41178.412</v>
      </c>
      <c r="F139" t="str">
        <f>""</f>
        <v/>
      </c>
      <c r="G139" t="str">
        <f t="shared" si="13"/>
        <v>0.001</v>
      </c>
      <c r="H139" t="str">
        <f>""</f>
        <v/>
      </c>
      <c r="I139" t="str">
        <f>"  85             :     8  3d6.4s2               3P2  "</f>
        <v xml:space="preserve">  85             :     8  3d6.4s2               3P2  </v>
      </c>
      <c r="J139" t="str">
        <f>""</f>
        <v/>
      </c>
    </row>
    <row r="140" spans="1:10">
      <c r="A140" s="1" t="str">
        <f>"3d8"</f>
        <v>3d8</v>
      </c>
      <c r="B140" t="str">
        <f>"3P"</f>
        <v>3P</v>
      </c>
      <c r="C140" t="str">
        <f>"0"</f>
        <v>0</v>
      </c>
      <c r="D140" t="str">
        <f>""</f>
        <v/>
      </c>
      <c r="E140" t="str">
        <f>"41234.505"</f>
        <v>41234.505</v>
      </c>
      <c r="F140" t="str">
        <f>""</f>
        <v/>
      </c>
      <c r="G140" t="str">
        <f t="shared" si="13"/>
        <v>0.001</v>
      </c>
      <c r="H140" t="str">
        <f>""</f>
        <v/>
      </c>
      <c r="I140" t="str">
        <f>"  83             :     8  3d6.4s2               3P2  "</f>
        <v xml:space="preserve">  83             :     8  3d6.4s2               3P2  </v>
      </c>
      <c r="J140" t="str">
        <f>""</f>
        <v/>
      </c>
    </row>
    <row r="141" spans="1:10">
      <c r="A141" s="1" t="str">
        <f>"3d6.(3P2).4s.4p.(3P*)"</f>
        <v>3d6.(3P2).4s.4p.(3P*)</v>
      </c>
      <c r="B141" t="str">
        <f>"z 5S*"</f>
        <v>z 5S*</v>
      </c>
      <c r="C141" t="str">
        <f>"2"</f>
        <v>2</v>
      </c>
      <c r="D141" t="str">
        <f>""</f>
        <v/>
      </c>
      <c r="E141" t="str">
        <f>"40894.990"</f>
        <v>40894.990</v>
      </c>
      <c r="F141" t="str">
        <f>""</f>
        <v/>
      </c>
      <c r="G141" t="str">
        <f t="shared" si="13"/>
        <v>0.001</v>
      </c>
      <c r="H141" t="str">
        <f>"1.985"</f>
        <v>1.985</v>
      </c>
      <c r="I141" t="str">
        <f>"  59             :    36  3d7.(4P).4p           5S*  "</f>
        <v xml:space="preserve">  59             :    36  3d7.(4P).4p           5S*  </v>
      </c>
      <c r="J141" t="str">
        <f>""</f>
        <v/>
      </c>
    </row>
    <row r="142" spans="1:10">
      <c r="A142" s="1" t="str">
        <f>"3d6.(3P2).4s.4p.(3P*)"</f>
        <v>3d6.(3P2).4s.4p.(3P*)</v>
      </c>
      <c r="B142" t="str">
        <f>"x 5P*"</f>
        <v>x 5P*</v>
      </c>
      <c r="C142" t="str">
        <f>"3"</f>
        <v>3</v>
      </c>
      <c r="D142" t="str">
        <f>""</f>
        <v/>
      </c>
      <c r="E142" t="str">
        <f>"42532.741"</f>
        <v>42532.741</v>
      </c>
      <c r="F142" t="str">
        <f>""</f>
        <v/>
      </c>
      <c r="G142" t="str">
        <f t="shared" si="13"/>
        <v>0.001</v>
      </c>
      <c r="H142" t="str">
        <f>"1.650"</f>
        <v>1.650</v>
      </c>
      <c r="I142" t="str">
        <f>"  86             :     5  3d7.(4P).4p           5P*  "</f>
        <v xml:space="preserve">  86             :     5  3d7.(4P).4p           5P*  </v>
      </c>
      <c r="J142" t="str">
        <f>""</f>
        <v/>
      </c>
    </row>
    <row r="143" spans="1:10">
      <c r="A143" s="1" t="str">
        <f>"3d6.(3P2).4s.4p.(3P*)"</f>
        <v>3d6.(3P2).4s.4p.(3P*)</v>
      </c>
      <c r="B143" t="str">
        <f>"x 5P*"</f>
        <v>x 5P*</v>
      </c>
      <c r="C143" t="str">
        <f>"2"</f>
        <v>2</v>
      </c>
      <c r="D143" t="str">
        <f>""</f>
        <v/>
      </c>
      <c r="E143" t="str">
        <f>"42859.778"</f>
        <v>42859.778</v>
      </c>
      <c r="F143" t="str">
        <f>""</f>
        <v/>
      </c>
      <c r="G143" t="str">
        <f>"0.002"</f>
        <v>0.002</v>
      </c>
      <c r="H143" t="str">
        <f>"1.822"</f>
        <v>1.822</v>
      </c>
      <c r="I143" t="str">
        <f>"  76             :    10  3d7.(4P).4p           5S*  "</f>
        <v xml:space="preserve">  76             :    10  3d7.(4P).4p           5S*  </v>
      </c>
      <c r="J143" t="str">
        <f>""</f>
        <v/>
      </c>
    </row>
    <row r="144" spans="1:10">
      <c r="A144" s="1" t="str">
        <f>"3d6.(3P2).4s.4p.(3P*)"</f>
        <v>3d6.(3P2).4s.4p.(3P*)</v>
      </c>
      <c r="B144" t="str">
        <f>"x 5P*"</f>
        <v>x 5P*</v>
      </c>
      <c r="C144" t="str">
        <f>"1"</f>
        <v>1</v>
      </c>
      <c r="D144" t="str">
        <f>""</f>
        <v/>
      </c>
      <c r="E144" t="str">
        <f>"43079.023"</f>
        <v>43079.023</v>
      </c>
      <c r="F144" t="str">
        <f>""</f>
        <v/>
      </c>
      <c r="G144" t="str">
        <f>"0.002"</f>
        <v>0.002</v>
      </c>
      <c r="H144" t="str">
        <f>"2.464"</f>
        <v>2.464</v>
      </c>
      <c r="I144" t="str">
        <f>"  85             :     7  3d7.(4P).4p           5P*  "</f>
        <v xml:space="preserve">  85             :     7  3d7.(4P).4p           5P*  </v>
      </c>
      <c r="J144" t="str">
        <f>""</f>
        <v/>
      </c>
    </row>
    <row r="145" spans="1:10">
      <c r="A145" s="1" t="str">
        <f>"3d6.(3H).4s.4p.(3P*)"</f>
        <v>3d6.(3H).4s.4p.(3P*)</v>
      </c>
      <c r="B145" t="str">
        <f>"y 5G*"</f>
        <v>y 5G*</v>
      </c>
      <c r="C145" t="str">
        <f>"6"</f>
        <v>6</v>
      </c>
      <c r="D145" t="str">
        <f>""</f>
        <v/>
      </c>
      <c r="E145" t="str">
        <f>"42784.352"</f>
        <v>42784.352</v>
      </c>
      <c r="F145" t="str">
        <f>""</f>
        <v/>
      </c>
      <c r="G145" t="str">
        <f>"0.002"</f>
        <v>0.002</v>
      </c>
      <c r="H145" t="str">
        <f>"1.342"</f>
        <v>1.342</v>
      </c>
      <c r="I145" t="str">
        <f>"  60             :    30  3d6.(3F2).4s.4p.(3P*) 5G*  "</f>
        <v xml:space="preserve">  60             :    30  3d6.(3F2).4s.4p.(3P*) 5G*  </v>
      </c>
      <c r="J145" t="str">
        <f>""</f>
        <v/>
      </c>
    </row>
    <row r="146" spans="1:10">
      <c r="A146" s="1" t="str">
        <f>"3d6.(3H).4s.4p.(3P*)"</f>
        <v>3d6.(3H).4s.4p.(3P*)</v>
      </c>
      <c r="B146" t="str">
        <f>"y 5G*"</f>
        <v>y 5G*</v>
      </c>
      <c r="C146" t="str">
        <f>"5"</f>
        <v>5</v>
      </c>
      <c r="D146" t="str">
        <f>""</f>
        <v/>
      </c>
      <c r="E146" t="str">
        <f>"42911.917"</f>
        <v>42911.917</v>
      </c>
      <c r="F146" t="str">
        <f>""</f>
        <v/>
      </c>
      <c r="G146" t="str">
        <f>"0.001"</f>
        <v>0.001</v>
      </c>
      <c r="H146" t="str">
        <f>"1.203"</f>
        <v>1.203</v>
      </c>
      <c r="I146" t="str">
        <f>"  53             :    33  3d6.(3F2).4s.4p.(3P*) 5G*  "</f>
        <v xml:space="preserve">  53             :    33  3d6.(3F2).4s.4p.(3P*) 5G*  </v>
      </c>
      <c r="J146" t="str">
        <f>""</f>
        <v/>
      </c>
    </row>
    <row r="147" spans="1:10">
      <c r="A147" s="1" t="str">
        <f>"3d6.(3H).4s.4p.(3P*)"</f>
        <v>3d6.(3H).4s.4p.(3P*)</v>
      </c>
      <c r="B147" t="str">
        <f>"y 5G*"</f>
        <v>y 5G*</v>
      </c>
      <c r="C147" t="str">
        <f>"4"</f>
        <v>4</v>
      </c>
      <c r="D147" t="str">
        <f>""</f>
        <v/>
      </c>
      <c r="E147" t="str">
        <f>"43022.985"</f>
        <v>43022.985</v>
      </c>
      <c r="F147" t="str">
        <f>""</f>
        <v/>
      </c>
      <c r="G147" t="str">
        <f>"0.002"</f>
        <v>0.002</v>
      </c>
      <c r="H147" t="str">
        <f>"1.024"</f>
        <v>1.024</v>
      </c>
      <c r="I147" t="str">
        <f>"  44             :    37  3d6.(3F2).4s.4p.(3P*) 5G*  "</f>
        <v xml:space="preserve">  44             :    37  3d6.(3F2).4s.4p.(3P*) 5G*  </v>
      </c>
      <c r="J147" t="str">
        <f>""</f>
        <v/>
      </c>
    </row>
    <row r="148" spans="1:10">
      <c r="A148" s="1" t="str">
        <f>"3d6.(3H).4s.4p.(3P*)"</f>
        <v>3d6.(3H).4s.4p.(3P*)</v>
      </c>
      <c r="B148" t="str">
        <f>"y 5G*"</f>
        <v>y 5G*</v>
      </c>
      <c r="C148" t="str">
        <f>"3"</f>
        <v>3</v>
      </c>
      <c r="D148" t="str">
        <f>""</f>
        <v/>
      </c>
      <c r="E148" t="str">
        <f>"43137.487"</f>
        <v>43137.487</v>
      </c>
      <c r="F148" t="str">
        <f>""</f>
        <v/>
      </c>
      <c r="G148" t="str">
        <f>"0.001"</f>
        <v>0.001</v>
      </c>
      <c r="H148" t="str">
        <f>"0.905"</f>
        <v>0.905</v>
      </c>
      <c r="I148" t="str">
        <f>"  38             :    22  3d6.(3F2).4s.4p.(3P*) 5G*  "</f>
        <v xml:space="preserve">  38             :    22  3d6.(3F2).4s.4p.(3P*) 5G*  </v>
      </c>
      <c r="J148" t="str">
        <f>""</f>
        <v/>
      </c>
    </row>
    <row r="149" spans="1:10">
      <c r="A149" s="1" t="str">
        <f>"3d6.(3H).4s.4p.(3P*)"</f>
        <v>3d6.(3H).4s.4p.(3P*)</v>
      </c>
      <c r="B149" t="str">
        <f>"y 5G*"</f>
        <v>y 5G*</v>
      </c>
      <c r="C149" t="str">
        <f>"2"</f>
        <v>2</v>
      </c>
      <c r="D149" t="str">
        <f>""</f>
        <v/>
      </c>
      <c r="E149" t="str">
        <f>"43210.025"</f>
        <v>43210.025</v>
      </c>
      <c r="F149" t="str">
        <f>""</f>
        <v/>
      </c>
      <c r="G149" t="str">
        <f>"0.002"</f>
        <v>0.002</v>
      </c>
      <c r="H149" t="str">
        <f>"0.331"</f>
        <v>0.331</v>
      </c>
      <c r="I149" t="str">
        <f>"  46             :    45  3d6.(3F2).4s.4p.(3P*) 5G*  "</f>
        <v xml:space="preserve">  46             :    45  3d6.(3F2).4s.4p.(3P*) 5G*  </v>
      </c>
      <c r="J149" t="str">
        <f>""</f>
        <v/>
      </c>
    </row>
    <row r="150" spans="1:10">
      <c r="A150" s="1" t="str">
        <f>"3d6.(5D).4s (6D).5s"</f>
        <v>3d6.(5D).4s (6D).5s</v>
      </c>
      <c r="B150" t="str">
        <f>"e 7D"</f>
        <v>e 7D</v>
      </c>
      <c r="C150" t="str">
        <f>"5"</f>
        <v>5</v>
      </c>
      <c r="D150" t="str">
        <f>""</f>
        <v/>
      </c>
      <c r="E150" t="str">
        <f>"42815.855"</f>
        <v>42815.855</v>
      </c>
      <c r="F150" t="str">
        <f>""</f>
        <v/>
      </c>
      <c r="G150" t="str">
        <f>"0.001"</f>
        <v>0.001</v>
      </c>
      <c r="H150" t="str">
        <f>"1.585"</f>
        <v>1.585</v>
      </c>
      <c r="I150" t="str">
        <f t="shared" ref="I150:I157" si="14">"                                                     "</f>
        <v xml:space="preserve">                                                     </v>
      </c>
      <c r="J150" t="str">
        <f>""</f>
        <v/>
      </c>
    </row>
    <row r="151" spans="1:10">
      <c r="A151" s="1" t="str">
        <f>"3d6.(5D).4s (6D).5s"</f>
        <v>3d6.(5D).4s (6D).5s</v>
      </c>
      <c r="B151" t="str">
        <f>"e 7D"</f>
        <v>e 7D</v>
      </c>
      <c r="C151" t="str">
        <f>"4"</f>
        <v>4</v>
      </c>
      <c r="D151" t="str">
        <f>""</f>
        <v/>
      </c>
      <c r="E151" t="str">
        <f>"43163.326"</f>
        <v>43163.326</v>
      </c>
      <c r="F151" t="str">
        <f>""</f>
        <v/>
      </c>
      <c r="G151" t="str">
        <f>"0.001"</f>
        <v>0.001</v>
      </c>
      <c r="H151" t="str">
        <f>"1.655"</f>
        <v>1.655</v>
      </c>
      <c r="I151" t="str">
        <f t="shared" si="14"/>
        <v xml:space="preserve">                                                     </v>
      </c>
      <c r="J151" t="str">
        <f>""</f>
        <v/>
      </c>
    </row>
    <row r="152" spans="1:10">
      <c r="A152" s="1" t="str">
        <f>"3d6.(5D).4s (6D).5s"</f>
        <v>3d6.(5D).4s (6D).5s</v>
      </c>
      <c r="B152" t="str">
        <f>"e 7D"</f>
        <v>e 7D</v>
      </c>
      <c r="C152" t="str">
        <f>"3"</f>
        <v>3</v>
      </c>
      <c r="D152" t="str">
        <f>""</f>
        <v/>
      </c>
      <c r="E152" t="str">
        <f>"43434.627"</f>
        <v>43434.627</v>
      </c>
      <c r="F152" t="str">
        <f>""</f>
        <v/>
      </c>
      <c r="G152" t="str">
        <f>"0.001"</f>
        <v>0.001</v>
      </c>
      <c r="H152" t="str">
        <f>"1.755"</f>
        <v>1.755</v>
      </c>
      <c r="I152" t="str">
        <f t="shared" si="14"/>
        <v xml:space="preserve">                                                     </v>
      </c>
      <c r="J152" t="str">
        <f>""</f>
        <v/>
      </c>
    </row>
    <row r="153" spans="1:10">
      <c r="A153" s="1" t="str">
        <f>"3d6.(5D).4s (6D).5s"</f>
        <v>3d6.(5D).4s (6D).5s</v>
      </c>
      <c r="B153" t="str">
        <f>"e 7D"</f>
        <v>e 7D</v>
      </c>
      <c r="C153" t="str">
        <f>"2"</f>
        <v>2</v>
      </c>
      <c r="D153" t="str">
        <f>""</f>
        <v/>
      </c>
      <c r="E153" t="str">
        <f>"43633.533"</f>
        <v>43633.533</v>
      </c>
      <c r="F153" t="str">
        <f>""</f>
        <v/>
      </c>
      <c r="G153" t="str">
        <f>"0.001"</f>
        <v>0.001</v>
      </c>
      <c r="H153" t="str">
        <f>"2.009"</f>
        <v>2.009</v>
      </c>
      <c r="I153" t="str">
        <f t="shared" si="14"/>
        <v xml:space="preserve">                                                     </v>
      </c>
      <c r="J153" t="str">
        <f>""</f>
        <v/>
      </c>
    </row>
    <row r="154" spans="1:10">
      <c r="A154" s="1" t="str">
        <f>"3d6.(5D).4s (6D).5s"</f>
        <v>3d6.(5D).4s (6D).5s</v>
      </c>
      <c r="B154" t="str">
        <f>"e 7D"</f>
        <v>e 7D</v>
      </c>
      <c r="C154" t="str">
        <f>"1"</f>
        <v>1</v>
      </c>
      <c r="D154" t="str">
        <f>""</f>
        <v/>
      </c>
      <c r="E154" t="str">
        <f>"43763.980"</f>
        <v>43763.980</v>
      </c>
      <c r="F154" t="str">
        <f>""</f>
        <v/>
      </c>
      <c r="G154" t="str">
        <f>"0.001"</f>
        <v>0.001</v>
      </c>
      <c r="H154" t="str">
        <f>"3.002"</f>
        <v>3.002</v>
      </c>
      <c r="I154" t="str">
        <f t="shared" si="14"/>
        <v xml:space="preserve">                                                     </v>
      </c>
      <c r="J154" t="str">
        <f>""</f>
        <v/>
      </c>
    </row>
    <row r="155" spans="1:10">
      <c r="A155" s="1" t="str">
        <f t="shared" ref="A155:A161" si="15">"3d6.(3H).4s.4p.(3P*)"</f>
        <v>3d6.(3H).4s.4p.(3P*)</v>
      </c>
      <c r="B155" t="str">
        <f>"z 5I*"</f>
        <v>z 5I*</v>
      </c>
      <c r="C155" t="str">
        <f>"6"</f>
        <v>6</v>
      </c>
      <c r="D155" t="str">
        <f>""</f>
        <v/>
      </c>
      <c r="E155" t="str">
        <f>"42903.861"</f>
        <v>42903.861</v>
      </c>
      <c r="F155" t="str">
        <f>""</f>
        <v/>
      </c>
      <c r="G155" t="str">
        <f>"0.002"</f>
        <v>0.002</v>
      </c>
      <c r="H155" t="str">
        <f>""</f>
        <v/>
      </c>
      <c r="I155" t="str">
        <f t="shared" si="14"/>
        <v xml:space="preserve">                                                     </v>
      </c>
      <c r="J155" t="str">
        <f>""</f>
        <v/>
      </c>
    </row>
    <row r="156" spans="1:10">
      <c r="A156" s="1" t="str">
        <f t="shared" si="15"/>
        <v>3d6.(3H).4s.4p.(3P*)</v>
      </c>
      <c r="B156" t="str">
        <f>"z 5I*"</f>
        <v>z 5I*</v>
      </c>
      <c r="C156" t="str">
        <f>"4"</f>
        <v>4</v>
      </c>
      <c r="D156" t="str">
        <f>""</f>
        <v/>
      </c>
      <c r="E156" t="str">
        <f>"43442.705"</f>
        <v>43442.705</v>
      </c>
      <c r="F156" t="str">
        <f>""</f>
        <v/>
      </c>
      <c r="G156" t="str">
        <f>"0.003"</f>
        <v>0.003</v>
      </c>
      <c r="H156" t="str">
        <f>""</f>
        <v/>
      </c>
      <c r="I156" t="str">
        <f t="shared" si="14"/>
        <v xml:space="preserve">                                                     </v>
      </c>
      <c r="J156" t="str">
        <f>""</f>
        <v/>
      </c>
    </row>
    <row r="157" spans="1:10">
      <c r="A157" s="1" t="str">
        <f t="shared" si="15"/>
        <v>3d6.(3H).4s.4p.(3P*)</v>
      </c>
      <c r="B157" t="str">
        <f>"z 5I*"</f>
        <v>z 5I*</v>
      </c>
      <c r="C157" t="str">
        <f>"5"</f>
        <v>5</v>
      </c>
      <c r="D157" t="str">
        <f>""</f>
        <v/>
      </c>
      <c r="E157" t="str">
        <f>"43460.121"</f>
        <v>43460.121</v>
      </c>
      <c r="F157" t="str">
        <f>""</f>
        <v/>
      </c>
      <c r="G157" t="str">
        <f>"0.002"</f>
        <v>0.002</v>
      </c>
      <c r="H157" t="str">
        <f>""</f>
        <v/>
      </c>
      <c r="I157" t="str">
        <f t="shared" si="14"/>
        <v xml:space="preserve">                                                     </v>
      </c>
      <c r="J157" t="str">
        <f>""</f>
        <v/>
      </c>
    </row>
    <row r="158" spans="1:10">
      <c r="A158" s="1" t="str">
        <f t="shared" si="15"/>
        <v>3d6.(3H).4s.4p.(3P*)</v>
      </c>
      <c r="B158" t="str">
        <f>"z 5H*"</f>
        <v>z 5H*</v>
      </c>
      <c r="C158" t="str">
        <f>"5"</f>
        <v>5</v>
      </c>
      <c r="D158" t="str">
        <f>""</f>
        <v/>
      </c>
      <c r="E158" t="str">
        <f>"42991.697"</f>
        <v>42991.697</v>
      </c>
      <c r="F158" t="str">
        <f>""</f>
        <v/>
      </c>
      <c r="G158" t="str">
        <f>"0.002"</f>
        <v>0.002</v>
      </c>
      <c r="H158" t="str">
        <f>"1.054"</f>
        <v>1.054</v>
      </c>
      <c r="I158" t="str">
        <f>"  65             :    27  3d6.(3H).4s.4p.(3P*)  5I*  "</f>
        <v xml:space="preserve">  65             :    27  3d6.(3H).4s.4p.(3P*)  5I*  </v>
      </c>
      <c r="J158" t="str">
        <f>""</f>
        <v/>
      </c>
    </row>
    <row r="159" spans="1:10">
      <c r="A159" s="1" t="str">
        <f t="shared" si="15"/>
        <v>3d6.(3H).4s.4p.(3P*)</v>
      </c>
      <c r="B159" t="str">
        <f>"z 5H*"</f>
        <v>z 5H*</v>
      </c>
      <c r="C159" t="str">
        <f>"4"</f>
        <v>4</v>
      </c>
      <c r="D159" t="str">
        <f>""</f>
        <v/>
      </c>
      <c r="E159" t="str">
        <f>"43108.917"</f>
        <v>43108.917</v>
      </c>
      <c r="F159" t="str">
        <f>""</f>
        <v/>
      </c>
      <c r="G159" t="str">
        <f>"0.001"</f>
        <v>0.001</v>
      </c>
      <c r="H159" t="str">
        <f>"0.871"</f>
        <v>0.871</v>
      </c>
      <c r="I159" t="str">
        <f>"  67             :    17  3d6.(3H).4s.4p.(3P*)  5I*  "</f>
        <v xml:space="preserve">  67             :    17  3d6.(3H).4s.4p.(3P*)  5I*  </v>
      </c>
      <c r="J159" t="str">
        <f>""</f>
        <v/>
      </c>
    </row>
    <row r="160" spans="1:10">
      <c r="A160" s="1" t="str">
        <f t="shared" si="15"/>
        <v>3d6.(3H).4s.4p.(3P*)</v>
      </c>
      <c r="B160" t="str">
        <f>"z 5H*"</f>
        <v>z 5H*</v>
      </c>
      <c r="C160" t="str">
        <f>"6"</f>
        <v>6</v>
      </c>
      <c r="D160" t="str">
        <f>""</f>
        <v/>
      </c>
      <c r="E160" t="str">
        <f>"43321.096"</f>
        <v>43321.096</v>
      </c>
      <c r="F160" t="str">
        <f>"?"</f>
        <v>?</v>
      </c>
      <c r="G160" t="str">
        <f>"0.005"</f>
        <v>0.005</v>
      </c>
      <c r="H160" t="str">
        <f>""</f>
        <v/>
      </c>
      <c r="I160" t="str">
        <f>"  64             :    30  3d6.(3H).4s.4p.(3P*)  5I*  "</f>
        <v xml:space="preserve">  64             :    30  3d6.(3H).4s.4p.(3P*)  5I*  </v>
      </c>
      <c r="J160" t="str">
        <f>""</f>
        <v/>
      </c>
    </row>
    <row r="161" spans="1:10">
      <c r="A161" s="1" t="str">
        <f t="shared" si="15"/>
        <v>3d6.(3H).4s.4p.(3P*)</v>
      </c>
      <c r="B161" t="str">
        <f>"z 5H*"</f>
        <v>z 5H*</v>
      </c>
      <c r="C161" t="str">
        <f>"3"</f>
        <v>3</v>
      </c>
      <c r="D161" t="str">
        <f>""</f>
        <v/>
      </c>
      <c r="E161" t="str">
        <f>"43325.964"</f>
        <v>43325.964</v>
      </c>
      <c r="F161" t="str">
        <f>""</f>
        <v/>
      </c>
      <c r="G161" t="str">
        <f>"0.002"</f>
        <v>0.002</v>
      </c>
      <c r="H161" t="str">
        <f>"0.509"</f>
        <v>0.509</v>
      </c>
      <c r="I161" t="str">
        <f>"  48             :    26  3d6.(3H).4s.4p.(3P*)  5G*  "</f>
        <v xml:space="preserve">  48             :    26  3d6.(3H).4s.4p.(3P*)  5G*  </v>
      </c>
      <c r="J161" t="str">
        <f>""</f>
        <v/>
      </c>
    </row>
    <row r="162" spans="1:10">
      <c r="A162" s="1" t="str">
        <f>"3d6.(3P2).4s.4p.(3P*)"</f>
        <v>3d6.(3P2).4s.4p.(3P*)</v>
      </c>
      <c r="B162" t="str">
        <f>"w 5D*"</f>
        <v>w 5D*</v>
      </c>
      <c r="C162" t="str">
        <f>"4"</f>
        <v>4</v>
      </c>
      <c r="D162" t="str">
        <f>""</f>
        <v/>
      </c>
      <c r="E162" t="str">
        <f>"43499.505"</f>
        <v>43499.505</v>
      </c>
      <c r="F162" t="str">
        <f>""</f>
        <v/>
      </c>
      <c r="G162" t="str">
        <f t="shared" ref="G162:G170" si="16">"0.001"</f>
        <v>0.001</v>
      </c>
      <c r="H162" t="str">
        <f>"1.492"</f>
        <v>1.492</v>
      </c>
      <c r="I162" t="str">
        <f>"  51             :    34  3d6.(3F2).4s.4p.(3P*) 5D*  "</f>
        <v xml:space="preserve">  51             :    34  3d6.(3F2).4s.4p.(3P*) 5D*  </v>
      </c>
      <c r="J162" t="str">
        <f>""</f>
        <v/>
      </c>
    </row>
    <row r="163" spans="1:10">
      <c r="A163" s="1" t="str">
        <f>"3d6.(3P2).4s.4p.(3P*)"</f>
        <v>3d6.(3P2).4s.4p.(3P*)</v>
      </c>
      <c r="B163" t="str">
        <f>"w 5D*"</f>
        <v>w 5D*</v>
      </c>
      <c r="C163" t="str">
        <f>"3"</f>
        <v>3</v>
      </c>
      <c r="D163" t="str">
        <f>""</f>
        <v/>
      </c>
      <c r="E163" t="str">
        <f>"43922.668"</f>
        <v>43922.668</v>
      </c>
      <c r="F163" t="str">
        <f>""</f>
        <v/>
      </c>
      <c r="G163" t="str">
        <f t="shared" si="16"/>
        <v>0.001</v>
      </c>
      <c r="H163" t="str">
        <f>"1.481"</f>
        <v>1.481</v>
      </c>
      <c r="I163" t="str">
        <f>"  35             :    28  3d6.(3F2).4s.4p.(3P*) 5D*  "</f>
        <v xml:space="preserve">  35             :    28  3d6.(3F2).4s.4p.(3P*) 5D*  </v>
      </c>
      <c r="J163" t="str">
        <f>""</f>
        <v/>
      </c>
    </row>
    <row r="164" spans="1:10">
      <c r="A164" s="1" t="str">
        <f>"3d6.(3P2).4s.4p.(3P*)"</f>
        <v>3d6.(3P2).4s.4p.(3P*)</v>
      </c>
      <c r="B164" t="str">
        <f>"w 5D*"</f>
        <v>w 5D*</v>
      </c>
      <c r="C164" t="str">
        <f>"2"</f>
        <v>2</v>
      </c>
      <c r="D164" t="str">
        <f>""</f>
        <v/>
      </c>
      <c r="E164" t="str">
        <f>"44183.628"</f>
        <v>44183.628</v>
      </c>
      <c r="F164" t="str">
        <f>""</f>
        <v/>
      </c>
      <c r="G164" t="str">
        <f t="shared" si="16"/>
        <v>0.001</v>
      </c>
      <c r="H164" t="str">
        <f>"1.533"</f>
        <v>1.533</v>
      </c>
      <c r="I164" t="str">
        <f>"  44             :    22  3d6.(3F2).4s.4p.(3P*) 5D*  "</f>
        <v xml:space="preserve">  44             :    22  3d6.(3F2).4s.4p.(3P*) 5D*  </v>
      </c>
      <c r="J164" t="str">
        <f>""</f>
        <v/>
      </c>
    </row>
    <row r="165" spans="1:10">
      <c r="A165" s="1" t="str">
        <f>"3d6.(3P2).4s.4p.(3P*)"</f>
        <v>3d6.(3P2).4s.4p.(3P*)</v>
      </c>
      <c r="B165" t="str">
        <f>"w 5D*"</f>
        <v>w 5D*</v>
      </c>
      <c r="C165" t="str">
        <f>"1"</f>
        <v>1</v>
      </c>
      <c r="D165" t="str">
        <f>""</f>
        <v/>
      </c>
      <c r="E165" t="str">
        <f>"44411.160"</f>
        <v>44411.160</v>
      </c>
      <c r="F165" t="str">
        <f>""</f>
        <v/>
      </c>
      <c r="G165" t="str">
        <f t="shared" si="16"/>
        <v>0.001</v>
      </c>
      <c r="H165" t="str">
        <f>"1.315"</f>
        <v>1.315</v>
      </c>
      <c r="I165" t="str">
        <f>"  48             :    19  3d6.(3F2).4s.4p.(3P*) 5D*  "</f>
        <v xml:space="preserve">  48             :    19  3d6.(3F2).4s.4p.(3P*) 5D*  </v>
      </c>
      <c r="J165" t="str">
        <f>""</f>
        <v/>
      </c>
    </row>
    <row r="166" spans="1:10">
      <c r="A166" s="1" t="str">
        <f>"3d6.(3P2).4s.4p.(3P*)"</f>
        <v>3d6.(3P2).4s.4p.(3P*)</v>
      </c>
      <c r="B166" t="str">
        <f>"w 5D*"</f>
        <v>w 5D*</v>
      </c>
      <c r="C166" t="str">
        <f>"0"</f>
        <v>0</v>
      </c>
      <c r="D166" t="str">
        <f>""</f>
        <v/>
      </c>
      <c r="E166" t="str">
        <f>"44458.934"</f>
        <v>44458.934</v>
      </c>
      <c r="F166" t="str">
        <f>""</f>
        <v/>
      </c>
      <c r="G166" t="str">
        <f t="shared" si="16"/>
        <v>0.001</v>
      </c>
      <c r="H166" t="str">
        <f>""</f>
        <v/>
      </c>
      <c r="I166" t="str">
        <f>"  45             :    19  3d6.(3F2).4s.4p.(3P*) 5D*  "</f>
        <v xml:space="preserve">  45             :    19  3d6.(3F2).4s.4p.(3P*) 5D*  </v>
      </c>
      <c r="J166" t="str">
        <f>""</f>
        <v/>
      </c>
    </row>
    <row r="167" spans="1:10">
      <c r="A167" s="1" t="str">
        <f t="shared" ref="A167:A176" si="17">"3d6.(3F2).4s.4p.(3P*)"</f>
        <v>3d6.(3F2).4s.4p.(3P*)</v>
      </c>
      <c r="B167" t="str">
        <f>"v 5D*"</f>
        <v>v 5D*</v>
      </c>
      <c r="C167" t="str">
        <f>"4"</f>
        <v>4</v>
      </c>
      <c r="D167" t="str">
        <f>""</f>
        <v/>
      </c>
      <c r="E167" t="str">
        <f>"44022.525"</f>
        <v>44022.525</v>
      </c>
      <c r="F167" t="str">
        <f>""</f>
        <v/>
      </c>
      <c r="G167" t="str">
        <f t="shared" si="16"/>
        <v>0.001</v>
      </c>
      <c r="H167" t="str">
        <f>"1.444"</f>
        <v>1.444</v>
      </c>
      <c r="I167" t="str">
        <f>"  42             :    23  3d6.(3P2).4s.4p.(3P*) 5D*  "</f>
        <v xml:space="preserve">  42             :    23  3d6.(3P2).4s.4p.(3P*) 5D*  </v>
      </c>
      <c r="J167" t="str">
        <f>""</f>
        <v/>
      </c>
    </row>
    <row r="168" spans="1:10">
      <c r="A168" s="1" t="str">
        <f t="shared" si="17"/>
        <v>3d6.(3F2).4s.4p.(3P*)</v>
      </c>
      <c r="B168" t="str">
        <f>"v 5D*"</f>
        <v>v 5D*</v>
      </c>
      <c r="C168" t="str">
        <f>"3"</f>
        <v>3</v>
      </c>
      <c r="D168" t="str">
        <f>""</f>
        <v/>
      </c>
      <c r="E168" t="str">
        <f>"44166.206"</f>
        <v>44166.206</v>
      </c>
      <c r="F168" t="str">
        <f>""</f>
        <v/>
      </c>
      <c r="G168" t="str">
        <f t="shared" si="16"/>
        <v>0.001</v>
      </c>
      <c r="H168" t="str">
        <f>"1.351"</f>
        <v>1.351</v>
      </c>
      <c r="I168" t="str">
        <f>"  39             :    28  3d6.(3P2).4s.4p.(3P*) 5D*  "</f>
        <v xml:space="preserve">  39             :    28  3d6.(3P2).4s.4p.(3P*) 5D*  </v>
      </c>
      <c r="J168" t="str">
        <f>""</f>
        <v/>
      </c>
    </row>
    <row r="169" spans="1:10">
      <c r="A169" s="1" t="str">
        <f t="shared" si="17"/>
        <v>3d6.(3F2).4s.4p.(3P*)</v>
      </c>
      <c r="B169" t="str">
        <f>"v 5D*"</f>
        <v>v 5D*</v>
      </c>
      <c r="C169" t="str">
        <f>"2"</f>
        <v>2</v>
      </c>
      <c r="D169" t="str">
        <f>""</f>
        <v/>
      </c>
      <c r="E169" t="str">
        <f>"44664.075"</f>
        <v>44664.075</v>
      </c>
      <c r="F169" t="str">
        <f>""</f>
        <v/>
      </c>
      <c r="G169" t="str">
        <f t="shared" si="16"/>
        <v>0.001</v>
      </c>
      <c r="H169" t="str">
        <f>"1.378"</f>
        <v>1.378</v>
      </c>
      <c r="I169" t="str">
        <f>"  41             :    29  3d6.(3P2).4s.4p.(3P*) 5D*  "</f>
        <v xml:space="preserve">  41             :    29  3d6.(3P2).4s.4p.(3P*) 5D*  </v>
      </c>
      <c r="J169" t="str">
        <f>""</f>
        <v/>
      </c>
    </row>
    <row r="170" spans="1:10">
      <c r="A170" s="1" t="str">
        <f t="shared" si="17"/>
        <v>3d6.(3F2).4s.4p.(3P*)</v>
      </c>
      <c r="B170" t="str">
        <f>"v 5D*"</f>
        <v>v 5D*</v>
      </c>
      <c r="C170" t="str">
        <f>"1"</f>
        <v>1</v>
      </c>
      <c r="D170" t="str">
        <f>""</f>
        <v/>
      </c>
      <c r="E170" t="str">
        <f>"44760.746"</f>
        <v>44760.746</v>
      </c>
      <c r="F170" t="str">
        <f>""</f>
        <v/>
      </c>
      <c r="G170" t="str">
        <f t="shared" si="16"/>
        <v>0.001</v>
      </c>
      <c r="H170" t="str">
        <f>"1.389"</f>
        <v>1.389</v>
      </c>
      <c r="I170" t="str">
        <f>"  40             :    28  3d6.(3P2).4s.4p.(3P*) 5D*  "</f>
        <v xml:space="preserve">  40             :    28  3d6.(3P2).4s.4p.(3P*) 5D*  </v>
      </c>
      <c r="J170" t="str">
        <f>""</f>
        <v/>
      </c>
    </row>
    <row r="171" spans="1:10">
      <c r="A171" s="1" t="str">
        <f t="shared" si="17"/>
        <v>3d6.(3F2).4s.4p.(3P*)</v>
      </c>
      <c r="B171" t="str">
        <f>"v 5D*"</f>
        <v>v 5D*</v>
      </c>
      <c r="C171" t="str">
        <f>"0"</f>
        <v>0</v>
      </c>
      <c r="D171" t="str">
        <f>""</f>
        <v/>
      </c>
      <c r="E171" t="str">
        <f>"44826.900"</f>
        <v>44826.900</v>
      </c>
      <c r="F171" t="str">
        <f>""</f>
        <v/>
      </c>
      <c r="G171" t="str">
        <f>"0.002"</f>
        <v>0.002</v>
      </c>
      <c r="H171" t="str">
        <f>""</f>
        <v/>
      </c>
      <c r="I171" t="str">
        <f>"  60             :    25  3d6.(3P2).4s.4p.(3P*) 5D*  "</f>
        <v xml:space="preserve">  60             :    25  3d6.(3P2).4s.4p.(3P*) 5D*  </v>
      </c>
      <c r="J171" t="str">
        <f>""</f>
        <v/>
      </c>
    </row>
    <row r="172" spans="1:10">
      <c r="A172" s="1" t="str">
        <f t="shared" si="17"/>
        <v>3d6.(3F2).4s.4p.(3P*)</v>
      </c>
      <c r="B172" t="str">
        <f>"w 5F*"</f>
        <v>w 5F*</v>
      </c>
      <c r="C172" t="str">
        <f>"5"</f>
        <v>5</v>
      </c>
      <c r="D172" t="str">
        <f>""</f>
        <v/>
      </c>
      <c r="E172" t="str">
        <f>"44243.685"</f>
        <v>44243.685</v>
      </c>
      <c r="F172" t="str">
        <f>""</f>
        <v/>
      </c>
      <c r="G172" t="str">
        <f>"0.002"</f>
        <v>0.002</v>
      </c>
      <c r="H172" t="str">
        <f>"1.382"</f>
        <v>1.382</v>
      </c>
      <c r="I172" t="str">
        <f>"  84             :     4  3d6.(3D).4s.4p.(3P*)  5F*  "</f>
        <v xml:space="preserve">  84             :     4  3d6.(3D).4s.4p.(3P*)  5F*  </v>
      </c>
      <c r="J172" t="str">
        <f>""</f>
        <v/>
      </c>
    </row>
    <row r="173" spans="1:10">
      <c r="A173" s="1" t="str">
        <f t="shared" si="17"/>
        <v>3d6.(3F2).4s.4p.(3P*)</v>
      </c>
      <c r="B173" t="str">
        <f>"w 5F*"</f>
        <v>w 5F*</v>
      </c>
      <c r="C173" t="str">
        <f>"2"</f>
        <v>2</v>
      </c>
      <c r="D173" t="str">
        <f>""</f>
        <v/>
      </c>
      <c r="E173" t="str">
        <f>"44285.454"</f>
        <v>44285.454</v>
      </c>
      <c r="F173" t="str">
        <f>""</f>
        <v/>
      </c>
      <c r="G173" t="str">
        <f>"0.002"</f>
        <v>0.002</v>
      </c>
      <c r="H173" t="str">
        <f>"1.117"</f>
        <v>1.117</v>
      </c>
      <c r="I173" t="str">
        <f>"  59             :    10  3d6.(3F2).4s.4p.(3P*) 5D*  "</f>
        <v xml:space="preserve">  59             :    10  3d6.(3F2).4s.4p.(3P*) 5D*  </v>
      </c>
      <c r="J173" t="str">
        <f>""</f>
        <v/>
      </c>
    </row>
    <row r="174" spans="1:10">
      <c r="A174" s="1" t="str">
        <f t="shared" si="17"/>
        <v>3d6.(3F2).4s.4p.(3P*)</v>
      </c>
      <c r="B174" t="str">
        <f>"w 5F*"</f>
        <v>w 5F*</v>
      </c>
      <c r="C174" t="str">
        <f>"1"</f>
        <v>1</v>
      </c>
      <c r="D174" t="str">
        <f>""</f>
        <v/>
      </c>
      <c r="E174" t="str">
        <f>"44378.342"</f>
        <v>44378.342</v>
      </c>
      <c r="F174" t="str">
        <f>""</f>
        <v/>
      </c>
      <c r="G174" t="str">
        <f>"0.002"</f>
        <v>0.002</v>
      </c>
      <c r="H174" t="str">
        <f>"0.283"</f>
        <v>0.283</v>
      </c>
      <c r="I174" t="str">
        <f>"  81             :     6  3d6.(3D).4s.4p.(3P*)  5F*  "</f>
        <v xml:space="preserve">  81             :     6  3d6.(3D).4s.4p.(3P*)  5F*  </v>
      </c>
      <c r="J174" t="str">
        <f>""</f>
        <v/>
      </c>
    </row>
    <row r="175" spans="1:10">
      <c r="A175" s="1" t="str">
        <f t="shared" si="17"/>
        <v>3d6.(3F2).4s.4p.(3P*)</v>
      </c>
      <c r="B175" t="str">
        <f>"w 5F*"</f>
        <v>w 5F*</v>
      </c>
      <c r="C175" t="str">
        <f>"4"</f>
        <v>4</v>
      </c>
      <c r="D175" t="str">
        <f>""</f>
        <v/>
      </c>
      <c r="E175" t="str">
        <f>"44415.074"</f>
        <v>44415.074</v>
      </c>
      <c r="F175" t="str">
        <f>""</f>
        <v/>
      </c>
      <c r="G175" t="str">
        <f>"0.001"</f>
        <v>0.001</v>
      </c>
      <c r="H175" t="str">
        <f>"1.401"</f>
        <v>1.401</v>
      </c>
      <c r="I175" t="str">
        <f>"  62             :    18  3d6.(3F2).4s.4p.(3P*) 5D*  "</f>
        <v xml:space="preserve">  62             :    18  3d6.(3F2).4s.4p.(3P*) 5D*  </v>
      </c>
      <c r="J175" t="str">
        <f>""</f>
        <v/>
      </c>
    </row>
    <row r="176" spans="1:10">
      <c r="A176" s="1" t="str">
        <f t="shared" si="17"/>
        <v>3d6.(3F2).4s.4p.(3P*)</v>
      </c>
      <c r="B176" t="str">
        <f>"w 5F*"</f>
        <v>w 5F*</v>
      </c>
      <c r="C176" t="str">
        <f>"3"</f>
        <v>3</v>
      </c>
      <c r="D176" t="str">
        <f>""</f>
        <v/>
      </c>
      <c r="E176" t="str">
        <f>"44551.335"</f>
        <v>44551.335</v>
      </c>
      <c r="F176" t="str">
        <f>""</f>
        <v/>
      </c>
      <c r="G176" t="str">
        <f>"0.002"</f>
        <v>0.002</v>
      </c>
      <c r="H176" t="str">
        <f>"1.386"</f>
        <v>1.386</v>
      </c>
      <c r="I176" t="str">
        <f>"  45             :    26  3d6.(3F2).4s.4p.(3P*) 5D*  "</f>
        <v xml:space="preserve">  45             :    26  3d6.(3F2).4s.4p.(3P*) 5D*  </v>
      </c>
      <c r="J176" t="str">
        <f>""</f>
        <v/>
      </c>
    </row>
    <row r="177" spans="1:10">
      <c r="A177" s="1" t="str">
        <f>"3d7.(4P).4p"</f>
        <v>3d7.(4P).4p</v>
      </c>
      <c r="B177" t="str">
        <f>"y 5S*"</f>
        <v>y 5S*</v>
      </c>
      <c r="C177" t="str">
        <f>"2"</f>
        <v>2</v>
      </c>
      <c r="D177" t="str">
        <f>""</f>
        <v/>
      </c>
      <c r="E177" t="str">
        <f>"44511.812"</f>
        <v>44511.812</v>
      </c>
      <c r="F177" t="str">
        <f>""</f>
        <v/>
      </c>
      <c r="G177" t="str">
        <f t="shared" ref="G177:G188" si="18">"0.001"</f>
        <v>0.001</v>
      </c>
      <c r="H177" t="str">
        <f>"1.888"</f>
        <v>1.888</v>
      </c>
      <c r="I177" t="str">
        <f>"  38             :    32  3d6.(3P2).4s.4p.(3P*) 5S*  "</f>
        <v xml:space="preserve">  38             :    32  3d6.(3P2).4s.4p.(3P*) 5S*  </v>
      </c>
      <c r="J177" t="str">
        <f>""</f>
        <v/>
      </c>
    </row>
    <row r="178" spans="1:10">
      <c r="A178" s="1" t="str">
        <f>"3d6.(5D).4s (6D).5s"</f>
        <v>3d6.(5D).4s (6D).5s</v>
      </c>
      <c r="B178" t="str">
        <f>"e 5D"</f>
        <v>e 5D</v>
      </c>
      <c r="C178" t="str">
        <f>"4"</f>
        <v>4</v>
      </c>
      <c r="D178" t="str">
        <f>""</f>
        <v/>
      </c>
      <c r="E178" t="str">
        <f>"44677.006"</f>
        <v>44677.006</v>
      </c>
      <c r="F178" t="str">
        <f>""</f>
        <v/>
      </c>
      <c r="G178" t="str">
        <f t="shared" si="18"/>
        <v>0.001</v>
      </c>
      <c r="H178" t="str">
        <f>"1.502"</f>
        <v>1.502</v>
      </c>
      <c r="I178" t="str">
        <f>"                                                     "</f>
        <v xml:space="preserve">                                                     </v>
      </c>
      <c r="J178" t="str">
        <f>""</f>
        <v/>
      </c>
    </row>
    <row r="179" spans="1:10">
      <c r="A179" s="1" t="str">
        <f>"3d6.(5D).4s (6D).5s"</f>
        <v>3d6.(5D).4s (6D).5s</v>
      </c>
      <c r="B179" t="str">
        <f>"e 5D"</f>
        <v>e 5D</v>
      </c>
      <c r="C179" t="str">
        <f>"3"</f>
        <v>3</v>
      </c>
      <c r="D179" t="str">
        <f>""</f>
        <v/>
      </c>
      <c r="E179" t="str">
        <f>"45061.329"</f>
        <v>45061.329</v>
      </c>
      <c r="F179" t="str">
        <f>""</f>
        <v/>
      </c>
      <c r="G179" t="str">
        <f t="shared" si="18"/>
        <v>0.001</v>
      </c>
      <c r="H179" t="str">
        <f>"1.508"</f>
        <v>1.508</v>
      </c>
      <c r="I179" t="str">
        <f>"                                                     "</f>
        <v xml:space="preserve">                                                     </v>
      </c>
      <c r="J179" t="str">
        <f>""</f>
        <v/>
      </c>
    </row>
    <row r="180" spans="1:10">
      <c r="A180" s="1" t="str">
        <f>"3d6.(5D).4s (6D).5s"</f>
        <v>3d6.(5D).4s (6D).5s</v>
      </c>
      <c r="B180" t="str">
        <f>"e 5D"</f>
        <v>e 5D</v>
      </c>
      <c r="C180" t="str">
        <f>"2"</f>
        <v>2</v>
      </c>
      <c r="D180" t="str">
        <f>""</f>
        <v/>
      </c>
      <c r="E180" t="str">
        <f>"45333.875"</f>
        <v>45333.875</v>
      </c>
      <c r="F180" t="str">
        <f>""</f>
        <v/>
      </c>
      <c r="G180" t="str">
        <f t="shared" si="18"/>
        <v>0.001</v>
      </c>
      <c r="H180" t="str">
        <f>"1.503"</f>
        <v>1.503</v>
      </c>
      <c r="I180" t="str">
        <f>"                                                     "</f>
        <v xml:space="preserve">                                                     </v>
      </c>
      <c r="J180" t="str">
        <f>""</f>
        <v/>
      </c>
    </row>
    <row r="181" spans="1:10">
      <c r="A181" s="1" t="str">
        <f>"3d6.(5D).4s (6D).5s"</f>
        <v>3d6.(5D).4s (6D).5s</v>
      </c>
      <c r="B181" t="str">
        <f>"e 5D"</f>
        <v>e 5D</v>
      </c>
      <c r="C181" t="str">
        <f>"1"</f>
        <v>1</v>
      </c>
      <c r="D181" t="str">
        <f>""</f>
        <v/>
      </c>
      <c r="E181" t="str">
        <f>"45509.152"</f>
        <v>45509.152</v>
      </c>
      <c r="F181" t="str">
        <f>""</f>
        <v/>
      </c>
      <c r="G181" t="str">
        <f t="shared" si="18"/>
        <v>0.001</v>
      </c>
      <c r="H181" t="str">
        <f>"1.518"</f>
        <v>1.518</v>
      </c>
      <c r="I181" t="str">
        <f>"                                                     "</f>
        <v xml:space="preserve">                                                     </v>
      </c>
      <c r="J181" t="str">
        <f>""</f>
        <v/>
      </c>
    </row>
    <row r="182" spans="1:10">
      <c r="A182" s="1" t="str">
        <f>"3d6.(5D).4s (6D).5s"</f>
        <v>3d6.(5D).4s (6D).5s</v>
      </c>
      <c r="B182" t="str">
        <f>"e 5D"</f>
        <v>e 5D</v>
      </c>
      <c r="C182" t="str">
        <f>"0"</f>
        <v>0</v>
      </c>
      <c r="D182" t="str">
        <f>""</f>
        <v/>
      </c>
      <c r="E182" t="str">
        <f>"45595.086"</f>
        <v>45595.086</v>
      </c>
      <c r="F182" t="str">
        <f>""</f>
        <v/>
      </c>
      <c r="G182" t="str">
        <f t="shared" si="18"/>
        <v>0.001</v>
      </c>
      <c r="H182" t="str">
        <f>""</f>
        <v/>
      </c>
      <c r="I182" t="str">
        <f>"                                                     "</f>
        <v xml:space="preserve">                                                     </v>
      </c>
      <c r="J182" t="str">
        <f>""</f>
        <v/>
      </c>
    </row>
    <row r="183" spans="1:10">
      <c r="A183" s="1" t="str">
        <f>"3d6.(3P2).4s.4p.(3P*)"</f>
        <v>3d6.(3P2).4s.4p.(3P*)</v>
      </c>
      <c r="B183" t="str">
        <f>"x 3D*"</f>
        <v>x 3D*</v>
      </c>
      <c r="C183" t="str">
        <f>"3"</f>
        <v>3</v>
      </c>
      <c r="D183" t="str">
        <f>""</f>
        <v/>
      </c>
      <c r="E183" t="str">
        <f>"45220.681"</f>
        <v>45220.681</v>
      </c>
      <c r="F183" t="str">
        <f>""</f>
        <v/>
      </c>
      <c r="G183" t="str">
        <f t="shared" si="18"/>
        <v>0.001</v>
      </c>
      <c r="H183" t="str">
        <f>"1.352"</f>
        <v>1.352</v>
      </c>
      <c r="I183" t="str">
        <f>"  29  3D*        :    29  3d6.(3P2).4s.4p.(3P*) 5D*  "</f>
        <v xml:space="preserve">  29  3D*        :    29  3d6.(3P2).4s.4p.(3P*) 5D*  </v>
      </c>
      <c r="J183" t="str">
        <f>""</f>
        <v/>
      </c>
    </row>
    <row r="184" spans="1:10">
      <c r="A184" s="1" t="str">
        <f>"3d6.(3P2).4s.4p.(3P*)"</f>
        <v>3d6.(3P2).4s.4p.(3P*)</v>
      </c>
      <c r="B184" t="str">
        <f>"x 3D*"</f>
        <v>x 3D*</v>
      </c>
      <c r="C184" t="str">
        <f>"2"</f>
        <v>2</v>
      </c>
      <c r="D184" t="str">
        <f>""</f>
        <v/>
      </c>
      <c r="E184" t="str">
        <f>"45281.833"</f>
        <v>45281.833</v>
      </c>
      <c r="F184" t="str">
        <f>""</f>
        <v/>
      </c>
      <c r="G184" t="str">
        <f t="shared" si="18"/>
        <v>0.001</v>
      </c>
      <c r="H184" t="str">
        <f>"1.200"</f>
        <v>1.200</v>
      </c>
      <c r="I184" t="str">
        <f>"  33  5D*        :    31  3d6.(3P2).4s.4p.(3P*) 3D*  "</f>
        <v xml:space="preserve">  33  5D*        :    31  3d6.(3P2).4s.4p.(3P*) 3D*  </v>
      </c>
      <c r="J184" t="str">
        <f>""</f>
        <v/>
      </c>
    </row>
    <row r="185" spans="1:10">
      <c r="A185" s="1" t="str">
        <f>"3d6.(3P2).4s.4p.(3P*)"</f>
        <v>3d6.(3P2).4s.4p.(3P*)</v>
      </c>
      <c r="B185" t="str">
        <f>"x 3D*"</f>
        <v>x 3D*</v>
      </c>
      <c r="C185" t="str">
        <f>"1"</f>
        <v>1</v>
      </c>
      <c r="D185" t="str">
        <f>""</f>
        <v/>
      </c>
      <c r="E185" t="str">
        <f>"45551.767"</f>
        <v>45551.767</v>
      </c>
      <c r="F185" t="str">
        <f>""</f>
        <v/>
      </c>
      <c r="G185" t="str">
        <f t="shared" si="18"/>
        <v>0.001</v>
      </c>
      <c r="H185" t="str">
        <f>"0.556"</f>
        <v>0.556</v>
      </c>
      <c r="I185" t="str">
        <f>"  32  5D*        :    30  3d6.(3P2).4s.4p.(3P*) 3D*  "</f>
        <v xml:space="preserve">  32  5D*        :    30  3d6.(3P2).4s.4p.(3P*) 3D*  </v>
      </c>
      <c r="J185" t="str">
        <f>""</f>
        <v/>
      </c>
    </row>
    <row r="186" spans="1:10">
      <c r="A186" s="1" t="str">
        <f>"3d6.(3H).4s.4p.(3P*)"</f>
        <v>3d6.(3H).4s.4p.(3P*)</v>
      </c>
      <c r="B186" t="str">
        <f>"y 3G*"</f>
        <v>y 3G*</v>
      </c>
      <c r="C186" t="str">
        <f>"5"</f>
        <v>5</v>
      </c>
      <c r="D186" t="str">
        <f>""</f>
        <v/>
      </c>
      <c r="E186" t="str">
        <f>"45294.846"</f>
        <v>45294.846</v>
      </c>
      <c r="F186" t="str">
        <f>""</f>
        <v/>
      </c>
      <c r="G186" t="str">
        <f t="shared" si="18"/>
        <v>0.001</v>
      </c>
      <c r="H186" t="str">
        <f>"1.207"</f>
        <v>1.207</v>
      </c>
      <c r="I186" t="str">
        <f>"  57             :    21  3d7.(2G).4p           3G*  "</f>
        <v xml:space="preserve">  57             :    21  3d7.(2G).4p           3G*  </v>
      </c>
      <c r="J186" t="str">
        <f>""</f>
        <v/>
      </c>
    </row>
    <row r="187" spans="1:10">
      <c r="A187" s="1" t="str">
        <f>"3d6.(3H).4s.4p.(3P*)"</f>
        <v>3d6.(3H).4s.4p.(3P*)</v>
      </c>
      <c r="B187" t="str">
        <f>"y 3G*"</f>
        <v>y 3G*</v>
      </c>
      <c r="C187" t="str">
        <f>"4"</f>
        <v>4</v>
      </c>
      <c r="D187" t="str">
        <f>""</f>
        <v/>
      </c>
      <c r="E187" t="str">
        <f>"45428.402"</f>
        <v>45428.402</v>
      </c>
      <c r="F187" t="str">
        <f>""</f>
        <v/>
      </c>
      <c r="G187" t="str">
        <f t="shared" si="18"/>
        <v>0.001</v>
      </c>
      <c r="H187" t="str">
        <f>"1.053"</f>
        <v>1.053</v>
      </c>
      <c r="I187" t="str">
        <f>"  55             :    20  3d7.(2G).4p           3G*  "</f>
        <v xml:space="preserve">  55             :    20  3d7.(2G).4p           3G*  </v>
      </c>
      <c r="J187" t="str">
        <f>""</f>
        <v/>
      </c>
    </row>
    <row r="188" spans="1:10">
      <c r="A188" s="1" t="str">
        <f>"3d6.(3H).4s.4p.(3P*)"</f>
        <v>3d6.(3H).4s.4p.(3P*)</v>
      </c>
      <c r="B188" t="str">
        <f>"y 3G*"</f>
        <v>y 3G*</v>
      </c>
      <c r="C188" t="str">
        <f>"3"</f>
        <v>3</v>
      </c>
      <c r="D188" t="str">
        <f>""</f>
        <v/>
      </c>
      <c r="E188" t="str">
        <f>"45562.974"</f>
        <v>45562.974</v>
      </c>
      <c r="F188" t="str">
        <f>""</f>
        <v/>
      </c>
      <c r="G188" t="str">
        <f t="shared" si="18"/>
        <v>0.001</v>
      </c>
      <c r="H188" t="str">
        <f>"0.765"</f>
        <v>0.765</v>
      </c>
      <c r="I188" t="str">
        <f>"  54             :    19  3d7.(2G).4p           3G*  "</f>
        <v xml:space="preserve">  54             :    19  3d7.(2G).4p           3G*  </v>
      </c>
      <c r="J188" t="str">
        <f>""</f>
        <v/>
      </c>
    </row>
    <row r="189" spans="1:10">
      <c r="A189" s="1" t="str">
        <f>"3d6.(3F2).4s.4p.(3P*)"</f>
        <v>3d6.(3F2).4s.4p.(3P*)</v>
      </c>
      <c r="B189" t="str">
        <f>"x 5G*"</f>
        <v>x 5G*</v>
      </c>
      <c r="C189" t="str">
        <f>"6"</f>
        <v>6</v>
      </c>
      <c r="D189" t="str">
        <f>""</f>
        <v/>
      </c>
      <c r="E189" t="str">
        <f>"45608.361"</f>
        <v>45608.361</v>
      </c>
      <c r="F189" t="str">
        <f>""</f>
        <v/>
      </c>
      <c r="G189" t="str">
        <f>"0.002"</f>
        <v>0.002</v>
      </c>
      <c r="H189" t="str">
        <f>"1.336"</f>
        <v>1.336</v>
      </c>
      <c r="I189" t="str">
        <f>"  65             :    30  3d6.(3H).4s.4p.(3P*)  5G*  "</f>
        <v xml:space="preserve">  65             :    30  3d6.(3H).4s.4p.(3P*)  5G*  </v>
      </c>
      <c r="J189" t="str">
        <f>""</f>
        <v/>
      </c>
    </row>
    <row r="190" spans="1:10">
      <c r="A190" s="1" t="str">
        <f>"3d6.(3F2).4s.4p.(3P*)"</f>
        <v>3d6.(3F2).4s.4p.(3P*)</v>
      </c>
      <c r="B190" t="str">
        <f>"x 5G*"</f>
        <v>x 5G*</v>
      </c>
      <c r="C190" t="str">
        <f>"5"</f>
        <v>5</v>
      </c>
      <c r="D190" t="str">
        <f>""</f>
        <v/>
      </c>
      <c r="E190" t="str">
        <f>"45726.130"</f>
        <v>45726.130</v>
      </c>
      <c r="F190" t="str">
        <f>""</f>
        <v/>
      </c>
      <c r="G190" t="str">
        <f>"0.001"</f>
        <v>0.001</v>
      </c>
      <c r="H190" t="str">
        <f>"1.269"</f>
        <v>1.269</v>
      </c>
      <c r="I190" t="str">
        <f>"  60             :    32  3d6.(3H).4s.4p.(3P*)  5G*  "</f>
        <v xml:space="preserve">  60             :    32  3d6.(3H).4s.4p.(3P*)  5G*  </v>
      </c>
      <c r="J190" t="str">
        <f>""</f>
        <v/>
      </c>
    </row>
    <row r="191" spans="1:10">
      <c r="A191" s="1" t="str">
        <f>"3d6.(3F2).4s.4p.(3P*)"</f>
        <v>3d6.(3F2).4s.4p.(3P*)</v>
      </c>
      <c r="B191" t="str">
        <f>"x 5G*"</f>
        <v>x 5G*</v>
      </c>
      <c r="C191" t="str">
        <f>"4"</f>
        <v>4</v>
      </c>
      <c r="D191" t="str">
        <f>""</f>
        <v/>
      </c>
      <c r="E191" t="str">
        <f>"45833.223"</f>
        <v>45833.223</v>
      </c>
      <c r="F191" t="str">
        <f>""</f>
        <v/>
      </c>
      <c r="G191" t="str">
        <f>"0.002"</f>
        <v>0.002</v>
      </c>
      <c r="H191" t="str">
        <f>"1.158"</f>
        <v>1.158</v>
      </c>
      <c r="I191" t="str">
        <f>"  55             :    36  3d6.(3H).4s.4p.(3P*)  5G*  "</f>
        <v xml:space="preserve">  55             :    36  3d6.(3H).4s.4p.(3P*)  5G*  </v>
      </c>
      <c r="J191" t="str">
        <f>""</f>
        <v/>
      </c>
    </row>
    <row r="192" spans="1:10">
      <c r="A192" s="1" t="str">
        <f>"3d6.(3F2).4s.4p.(3P*)"</f>
        <v>3d6.(3F2).4s.4p.(3P*)</v>
      </c>
      <c r="B192" t="str">
        <f>"x 5G*"</f>
        <v>x 5G*</v>
      </c>
      <c r="C192" t="str">
        <f>"3"</f>
        <v>3</v>
      </c>
      <c r="D192" t="str">
        <f>""</f>
        <v/>
      </c>
      <c r="E192" t="str">
        <f>"45913.497"</f>
        <v>45913.497</v>
      </c>
      <c r="F192" t="str">
        <f>""</f>
        <v/>
      </c>
      <c r="G192" t="str">
        <f>"0.003"</f>
        <v>0.003</v>
      </c>
      <c r="H192" t="str">
        <f>"0.928"</f>
        <v>0.928</v>
      </c>
      <c r="I192" t="str">
        <f>"  53             :    40  3d6.(3H).4s.4p.(3P*)  5G*  "</f>
        <v xml:space="preserve">  53             :    40  3d6.(3H).4s.4p.(3P*)  5G*  </v>
      </c>
      <c r="J192" t="str">
        <f>""</f>
        <v/>
      </c>
    </row>
    <row r="193" spans="1:10">
      <c r="A193" s="1" t="str">
        <f>"3d6.(3F2).4s.4p.(3P*)"</f>
        <v>3d6.(3F2).4s.4p.(3P*)</v>
      </c>
      <c r="B193" t="str">
        <f>"x 5G*"</f>
        <v>x 5G*</v>
      </c>
      <c r="C193" t="str">
        <f>"2"</f>
        <v>2</v>
      </c>
      <c r="D193" t="str">
        <f>""</f>
        <v/>
      </c>
      <c r="E193" t="str">
        <f>"45964.957"</f>
        <v>45964.957</v>
      </c>
      <c r="F193" t="str">
        <f>""</f>
        <v/>
      </c>
      <c r="G193" t="str">
        <f>"0.002"</f>
        <v>0.002</v>
      </c>
      <c r="H193" t="str">
        <f>"0.323"</f>
        <v>0.323</v>
      </c>
      <c r="I193" t="str">
        <f>"  52             :    45  3d6.(3H).4s.4p.(3P*)  5G*  "</f>
        <v xml:space="preserve">  52             :    45  3d6.(3H).4s.4p.(3P*)  5G*  </v>
      </c>
      <c r="J193" t="str">
        <f>""</f>
        <v/>
      </c>
    </row>
    <row r="194" spans="1:10">
      <c r="A194" s="1" t="str">
        <f>"3d6.(3H).4s.4p.(3P*)"</f>
        <v>3d6.(3H).4s.4p.(3P*)</v>
      </c>
      <c r="B194" t="str">
        <f>"z 3I*"</f>
        <v>z 3I*</v>
      </c>
      <c r="C194" t="str">
        <f>"7"</f>
        <v>7</v>
      </c>
      <c r="D194" t="str">
        <f>""</f>
        <v/>
      </c>
      <c r="E194" t="str">
        <f>"45978.008"</f>
        <v>45978.008</v>
      </c>
      <c r="F194" t="str">
        <f>""</f>
        <v/>
      </c>
      <c r="G194" t="str">
        <f>"0.002"</f>
        <v>0.002</v>
      </c>
      <c r="H194" t="str">
        <f>"1.149"</f>
        <v>1.149</v>
      </c>
      <c r="I194" t="str">
        <f>"  93             :     3  3d7.(2H).4p           3I*  "</f>
        <v xml:space="preserve">  93             :     3  3d7.(2H).4p           3I*  </v>
      </c>
      <c r="J194" t="str">
        <f>""</f>
        <v/>
      </c>
    </row>
    <row r="195" spans="1:10">
      <c r="A195" s="1" t="str">
        <f>"3d6.(3H).4s.4p.(3P*)"</f>
        <v>3d6.(3H).4s.4p.(3P*)</v>
      </c>
      <c r="B195" t="str">
        <f>"z 3I*"</f>
        <v>z 3I*</v>
      </c>
      <c r="C195" t="str">
        <f>"6"</f>
        <v>6</v>
      </c>
      <c r="D195" t="str">
        <f>""</f>
        <v/>
      </c>
      <c r="E195" t="str">
        <f>"46026.971"</f>
        <v>46026.971</v>
      </c>
      <c r="F195" t="str">
        <f>""</f>
        <v/>
      </c>
      <c r="G195" t="str">
        <f>"0.002"</f>
        <v>0.002</v>
      </c>
      <c r="H195" t="str">
        <f>"1.040"</f>
        <v>1.040</v>
      </c>
      <c r="I195" t="str">
        <f>"  91             :     3  3d7.(2H).4p           3I*  "</f>
        <v xml:space="preserve">  91             :     3  3d7.(2H).4p           3I*  </v>
      </c>
      <c r="J195" t="str">
        <f>""</f>
        <v/>
      </c>
    </row>
    <row r="196" spans="1:10">
      <c r="A196" s="1" t="str">
        <f>"3d6.(3H).4s.4p.(3P*)"</f>
        <v>3d6.(3H).4s.4p.(3P*)</v>
      </c>
      <c r="B196" t="str">
        <f>"z 3I*"</f>
        <v>z 3I*</v>
      </c>
      <c r="C196" t="str">
        <f>"5"</f>
        <v>5</v>
      </c>
      <c r="D196" t="str">
        <f>""</f>
        <v/>
      </c>
      <c r="E196" t="str">
        <f>"46135.820"</f>
        <v>46135.820</v>
      </c>
      <c r="F196" t="str">
        <f>""</f>
        <v/>
      </c>
      <c r="G196" t="str">
        <f>"0.002"</f>
        <v>0.002</v>
      </c>
      <c r="H196" t="str">
        <f>"0.833"</f>
        <v>0.833</v>
      </c>
      <c r="I196" t="str">
        <f>"  94             :     4  3d7.(2H).4p           3I*  "</f>
        <v xml:space="preserve">  94             :     4  3d7.(2H).4p           3I*  </v>
      </c>
      <c r="J196" t="str">
        <f>""</f>
        <v/>
      </c>
    </row>
    <row r="197" spans="1:10">
      <c r="A197" s="1" t="str">
        <f>"3d7.(4P).4p"</f>
        <v>3d7.(4P).4p</v>
      </c>
      <c r="B197" t="str">
        <f>"w 5P*"</f>
        <v>w 5P*</v>
      </c>
      <c r="C197" t="str">
        <f>"3"</f>
        <v>3</v>
      </c>
      <c r="D197" t="str">
        <f>""</f>
        <v/>
      </c>
      <c r="E197" t="str">
        <f>"46137.097"</f>
        <v>46137.097</v>
      </c>
      <c r="F197" t="str">
        <f>""</f>
        <v/>
      </c>
      <c r="G197" t="str">
        <f>"0.001"</f>
        <v>0.001</v>
      </c>
      <c r="H197" t="str">
        <f>"1.658"</f>
        <v>1.658</v>
      </c>
      <c r="I197" t="str">
        <f>"  45             :    35  3d5.(6S).4s2.4p       5P*  "</f>
        <v xml:space="preserve">  45             :    35  3d5.(6S).4s2.4p       5P*  </v>
      </c>
      <c r="J197" t="str">
        <f>""</f>
        <v/>
      </c>
    </row>
    <row r="198" spans="1:10">
      <c r="A198" s="1" t="str">
        <f>"3d7.(4P).4p"</f>
        <v>3d7.(4P).4p</v>
      </c>
      <c r="B198" t="str">
        <f>"w 5P*"</f>
        <v>w 5P*</v>
      </c>
      <c r="C198" t="str">
        <f>"2"</f>
        <v>2</v>
      </c>
      <c r="D198" t="str">
        <f>""</f>
        <v/>
      </c>
      <c r="E198" t="str">
        <f>"46313.537"</f>
        <v>46313.537</v>
      </c>
      <c r="F198" t="str">
        <f>""</f>
        <v/>
      </c>
      <c r="G198" t="str">
        <f>"0.001"</f>
        <v>0.001</v>
      </c>
      <c r="H198" t="str">
        <f>"1.822"</f>
        <v>1.822</v>
      </c>
      <c r="I198" t="str">
        <f>"  41             :    31  3d5.(6S).4s2.4p       5P*  "</f>
        <v xml:space="preserve">  41             :    31  3d5.(6S).4s2.4p       5P*  </v>
      </c>
      <c r="J198" t="str">
        <f>""</f>
        <v/>
      </c>
    </row>
    <row r="199" spans="1:10">
      <c r="A199" s="1" t="str">
        <f>"3d7.(4P).4p"</f>
        <v>3d7.(4P).4p</v>
      </c>
      <c r="B199" t="str">
        <f>"w 5P*"</f>
        <v>w 5P*</v>
      </c>
      <c r="C199" t="str">
        <f>"1"</f>
        <v>1</v>
      </c>
      <c r="D199" t="str">
        <f>""</f>
        <v/>
      </c>
      <c r="E199" t="str">
        <f>"46410.381"</f>
        <v>46410.381</v>
      </c>
      <c r="F199" t="str">
        <f>""</f>
        <v/>
      </c>
      <c r="G199" t="str">
        <f>"0.002"</f>
        <v>0.002</v>
      </c>
      <c r="H199" t="str">
        <f>"2.436"</f>
        <v>2.436</v>
      </c>
      <c r="I199" t="str">
        <f>"  38             :    20  3d5.(6S).4s2.4p       5P*  "</f>
        <v xml:space="preserve">  38             :    20  3d5.(6S).4s2.4p       5P*  </v>
      </c>
      <c r="J199" t="str">
        <f>""</f>
        <v/>
      </c>
    </row>
    <row r="200" spans="1:10">
      <c r="A200" s="1" t="str">
        <f>"3d6.(3P2).4s.4p.(3P*)"</f>
        <v>3d6.(3P2).4s.4p.(3P*)</v>
      </c>
      <c r="B200" t="str">
        <f>"z 3S*"</f>
        <v>z 3S*</v>
      </c>
      <c r="C200" t="str">
        <f>"1"</f>
        <v>1</v>
      </c>
      <c r="D200" t="str">
        <f>""</f>
        <v/>
      </c>
      <c r="E200" t="str">
        <f>"46600.818"</f>
        <v>46600.818</v>
      </c>
      <c r="F200" t="str">
        <f>""</f>
        <v/>
      </c>
      <c r="G200" t="str">
        <f>"0.001"</f>
        <v>0.001</v>
      </c>
      <c r="H200" t="str">
        <f>"1.888"</f>
        <v>1.888</v>
      </c>
      <c r="I200" t="str">
        <f>"  49             :    14  3d7.(2P).4p           3S*  "</f>
        <v xml:space="preserve">  49             :    14  3d7.(2P).4p           3S*  </v>
      </c>
      <c r="J200" t="str">
        <f>""</f>
        <v/>
      </c>
    </row>
    <row r="201" spans="1:10">
      <c r="A201" s="1" t="str">
        <f>"3d6.(3P2).4s.4p.(3P*)"</f>
        <v>3d6.(3P2).4s.4p.(3P*)</v>
      </c>
      <c r="B201" t="str">
        <f>"y 3P*"</f>
        <v>y 3P*</v>
      </c>
      <c r="C201" t="str">
        <f>"0"</f>
        <v>0</v>
      </c>
      <c r="D201" t="str">
        <f>""</f>
        <v/>
      </c>
      <c r="E201" t="str">
        <f>"46672.540"</f>
        <v>46672.540</v>
      </c>
      <c r="F201" t="str">
        <f>""</f>
        <v/>
      </c>
      <c r="G201" t="str">
        <f>"0.003"</f>
        <v>0.003</v>
      </c>
      <c r="H201" t="str">
        <f>""</f>
        <v/>
      </c>
      <c r="I201" t="str">
        <f>"  37             :    24  3d7.(4P).4p           3P*  "</f>
        <v xml:space="preserve">  37             :    24  3d7.(4P).4p           3P*  </v>
      </c>
      <c r="J201" t="str">
        <f>""</f>
        <v/>
      </c>
    </row>
    <row r="202" spans="1:10">
      <c r="A202" s="1" t="str">
        <f>"3d6.(3P2).4s.4p.(3P*)"</f>
        <v>3d6.(3P2).4s.4p.(3P*)</v>
      </c>
      <c r="B202" t="str">
        <f>"y 3P*"</f>
        <v>y 3P*</v>
      </c>
      <c r="C202" t="str">
        <f>"2"</f>
        <v>2</v>
      </c>
      <c r="D202" t="str">
        <f>""</f>
        <v/>
      </c>
      <c r="E202" t="str">
        <f>"46727.074"</f>
        <v>46727.074</v>
      </c>
      <c r="F202" t="str">
        <f>""</f>
        <v/>
      </c>
      <c r="G202" t="str">
        <f>"0.001"</f>
        <v>0.001</v>
      </c>
      <c r="H202" t="str">
        <f>"1.444"</f>
        <v>1.444</v>
      </c>
      <c r="I202" t="str">
        <f>"  32             :    36  3d7.(4P).4p           3P*  "</f>
        <v xml:space="preserve">  32             :    36  3d7.(4P).4p           3P*  </v>
      </c>
      <c r="J202" t="str">
        <f>""</f>
        <v/>
      </c>
    </row>
    <row r="203" spans="1:10">
      <c r="A203" s="1" t="str">
        <f>"3d6.(3P2).4s.4p.(3P*)"</f>
        <v>3d6.(3P2).4s.4p.(3P*)</v>
      </c>
      <c r="B203" t="str">
        <f>"y 3P*"</f>
        <v>y 3P*</v>
      </c>
      <c r="C203" t="str">
        <f>"1"</f>
        <v>1</v>
      </c>
      <c r="D203" t="str">
        <f>""</f>
        <v/>
      </c>
      <c r="E203" t="str">
        <f>"46901.832"</f>
        <v>46901.832</v>
      </c>
      <c r="F203" t="str">
        <f>""</f>
        <v/>
      </c>
      <c r="G203" t="str">
        <f>"0.001"</f>
        <v>0.001</v>
      </c>
      <c r="H203" t="str">
        <f>"1.600"</f>
        <v>1.600</v>
      </c>
      <c r="I203" t="str">
        <f>"  31             :    21  3d7.(4P).4p           3P*  "</f>
        <v xml:space="preserve">  31             :    21  3d7.(4P).4p           3P*  </v>
      </c>
      <c r="J203" t="str">
        <f>""</f>
        <v/>
      </c>
    </row>
    <row r="204" spans="1:10">
      <c r="A204" s="1" t="str">
        <f>"3d7.(4P).4p"</f>
        <v>3d7.(4P).4p</v>
      </c>
      <c r="B204" t="str">
        <f>"u 5D*"</f>
        <v>u 5D*</v>
      </c>
      <c r="C204" t="str">
        <f>"4"</f>
        <v>4</v>
      </c>
      <c r="D204" t="str">
        <f>""</f>
        <v/>
      </c>
      <c r="E204" t="str">
        <f>"46720.842"</f>
        <v>46720.842</v>
      </c>
      <c r="F204" t="str">
        <f>""</f>
        <v/>
      </c>
      <c r="G204" t="str">
        <f>"0.001"</f>
        <v>0.001</v>
      </c>
      <c r="H204" t="str">
        <f>"1.341"</f>
        <v>1.341</v>
      </c>
      <c r="I204" t="str">
        <f>"  50             :    17  3d6.(3F2).4s.4p.(3P*) 5D*  "</f>
        <v xml:space="preserve">  50             :    17  3d6.(3F2).4s.4p.(3P*) 5D*  </v>
      </c>
      <c r="J204" t="str">
        <f>""</f>
        <v/>
      </c>
    </row>
    <row r="205" spans="1:10">
      <c r="A205" s="1" t="str">
        <f>"3d7.(4P).4p"</f>
        <v>3d7.(4P).4p</v>
      </c>
      <c r="B205" t="str">
        <f>"u 5D*"</f>
        <v>u 5D*</v>
      </c>
      <c r="C205" t="str">
        <f>"3"</f>
        <v>3</v>
      </c>
      <c r="D205" t="str">
        <f>""</f>
        <v/>
      </c>
      <c r="E205" t="str">
        <f>"46744.993"</f>
        <v>46744.993</v>
      </c>
      <c r="F205" t="str">
        <f>""</f>
        <v/>
      </c>
      <c r="G205" t="str">
        <f>"0.001"</f>
        <v>0.001</v>
      </c>
      <c r="H205" t="str">
        <f>"1.397"</f>
        <v>1.397</v>
      </c>
      <c r="I205" t="str">
        <f>"  54             :    14  3d6.(3F2).4s.4p.(3P*) 5D*  "</f>
        <v xml:space="preserve">  54             :    14  3d6.(3F2).4s.4p.(3P*) 5D*  </v>
      </c>
      <c r="J205" t="str">
        <f>""</f>
        <v/>
      </c>
    </row>
    <row r="206" spans="1:10">
      <c r="A206" s="1" t="str">
        <f>"3d7.(4P).4p"</f>
        <v>3d7.(4P).4p</v>
      </c>
      <c r="B206" t="str">
        <f>"u 5D*"</f>
        <v>u 5D*</v>
      </c>
      <c r="C206" t="str">
        <f>"2"</f>
        <v>2</v>
      </c>
      <c r="D206" t="str">
        <f>""</f>
        <v/>
      </c>
      <c r="E206" t="str">
        <f>"46888.517"</f>
        <v>46888.517</v>
      </c>
      <c r="F206" t="str">
        <f>""</f>
        <v/>
      </c>
      <c r="G206" t="str">
        <f>"0.001"</f>
        <v>0.001</v>
      </c>
      <c r="H206" t="str">
        <f>"1.260"</f>
        <v>1.260</v>
      </c>
      <c r="I206" t="str">
        <f>"  51             :    15  3d6.(3F2).4s.4p.(3P*) 3D*  "</f>
        <v xml:space="preserve">  51             :    15  3d6.(3F2).4s.4p.(3P*) 3D*  </v>
      </c>
      <c r="J206" t="str">
        <f>""</f>
        <v/>
      </c>
    </row>
    <row r="207" spans="1:10">
      <c r="A207" s="1" t="str">
        <f>"3d7.(4P).4p"</f>
        <v>3d7.(4P).4p</v>
      </c>
      <c r="B207" t="str">
        <f>"u 5D*"</f>
        <v>u 5D*</v>
      </c>
      <c r="C207" t="str">
        <f>"0"</f>
        <v>0</v>
      </c>
      <c r="D207" t="str">
        <f>""</f>
        <v/>
      </c>
      <c r="E207" t="str">
        <f>"47171.531"</f>
        <v>47171.531</v>
      </c>
      <c r="F207" t="str">
        <f>""</f>
        <v/>
      </c>
      <c r="G207" t="str">
        <f>"0.002"</f>
        <v>0.002</v>
      </c>
      <c r="H207" t="str">
        <f>""</f>
        <v/>
      </c>
      <c r="I207" t="str">
        <f>"  52             :    20  3d6.(3F2).4s.4p.(3P*) 5D*  "</f>
        <v xml:space="preserve">  52             :    20  3d6.(3F2).4s.4p.(3P*) 5D*  </v>
      </c>
      <c r="J207" t="str">
        <f>""</f>
        <v/>
      </c>
    </row>
    <row r="208" spans="1:10">
      <c r="A208" s="1" t="str">
        <f>"3d7.(4P).4p"</f>
        <v>3d7.(4P).4p</v>
      </c>
      <c r="B208" t="str">
        <f>"u 5D*"</f>
        <v>u 5D*</v>
      </c>
      <c r="C208" t="str">
        <f>"1"</f>
        <v>1</v>
      </c>
      <c r="D208" t="str">
        <f>""</f>
        <v/>
      </c>
      <c r="E208" t="str">
        <f>"47177.234"</f>
        <v>47177.234</v>
      </c>
      <c r="F208" t="str">
        <f>""</f>
        <v/>
      </c>
      <c r="G208" t="str">
        <f>"0.001"</f>
        <v>0.001</v>
      </c>
      <c r="H208" t="str">
        <f>"1.410"</f>
        <v>1.410</v>
      </c>
      <c r="I208" t="str">
        <f>"  55             :    21  3d6.(3F2).4s.4p.(3P*) 5D*  "</f>
        <v xml:space="preserve">  55             :    21  3d6.(3F2).4s.4p.(3P*) 5D*  </v>
      </c>
      <c r="J208" t="str">
        <f>""</f>
        <v/>
      </c>
    </row>
    <row r="209" spans="1:10">
      <c r="A209" s="1" t="str">
        <f>"3d6.(3F2).4s.4p.(3P*)"</f>
        <v>3d6.(3F2).4s.4p.(3P*)</v>
      </c>
      <c r="B209" t="str">
        <f>"x 3F*"</f>
        <v>x 3F*</v>
      </c>
      <c r="C209" t="str">
        <f>"4"</f>
        <v>4</v>
      </c>
      <c r="D209" t="str">
        <f>""</f>
        <v/>
      </c>
      <c r="E209" t="str">
        <f>"46889.142"</f>
        <v>46889.142</v>
      </c>
      <c r="F209" t="str">
        <f>""</f>
        <v/>
      </c>
      <c r="G209" t="str">
        <f>"0.001"</f>
        <v>0.001</v>
      </c>
      <c r="H209" t="str">
        <f>"1.344"</f>
        <v>1.344</v>
      </c>
      <c r="I209" t="str">
        <f>"  38             :    17  3d7.(2G).4p           3F*  "</f>
        <v xml:space="preserve">  38             :    17  3d7.(2G).4p           3F*  </v>
      </c>
      <c r="J209" t="str">
        <f>""</f>
        <v/>
      </c>
    </row>
    <row r="210" spans="1:10">
      <c r="A210" s="1" t="str">
        <f>"3d6.(3F2).4s.4p.(3P*)"</f>
        <v>3d6.(3F2).4s.4p.(3P*)</v>
      </c>
      <c r="B210" t="str">
        <f>"x 3F*"</f>
        <v>x 3F*</v>
      </c>
      <c r="C210" t="str">
        <f>"3"</f>
        <v>3</v>
      </c>
      <c r="D210" t="str">
        <f>""</f>
        <v/>
      </c>
      <c r="E210" t="str">
        <f>"47092.712"</f>
        <v>47092.712</v>
      </c>
      <c r="F210" t="str">
        <f>""</f>
        <v/>
      </c>
      <c r="G210" t="str">
        <f>"0.001"</f>
        <v>0.001</v>
      </c>
      <c r="H210" t="str">
        <f>"1.159"</f>
        <v>1.159</v>
      </c>
      <c r="I210" t="str">
        <f>"  51             :    25  3d7.(2G).4p           3G*  "</f>
        <v xml:space="preserve">  51             :    25  3d7.(2G).4p           3G*  </v>
      </c>
      <c r="J210" t="str">
        <f>""</f>
        <v/>
      </c>
    </row>
    <row r="211" spans="1:10">
      <c r="A211" s="1" t="str">
        <f>"3d6.(3F2).4s.4p.(3P*)"</f>
        <v>3d6.(3F2).4s.4p.(3P*)</v>
      </c>
      <c r="B211" t="str">
        <f>"x 3F*"</f>
        <v>x 3F*</v>
      </c>
      <c r="C211" t="str">
        <f>"2"</f>
        <v>2</v>
      </c>
      <c r="D211" t="str">
        <f>""</f>
        <v/>
      </c>
      <c r="E211" t="str">
        <f>"47197.010"</f>
        <v>47197.010</v>
      </c>
      <c r="F211" t="str">
        <f>""</f>
        <v/>
      </c>
      <c r="G211" t="str">
        <f>"0.001"</f>
        <v>0.001</v>
      </c>
      <c r="H211" t="str">
        <f>"0.743"</f>
        <v>0.743</v>
      </c>
      <c r="I211" t="str">
        <f>"  41             :    24  3d6.(3G).4s.4p.(3P*)  5G*  "</f>
        <v xml:space="preserve">  41             :    24  3d6.(3G).4s.4p.(3P*)  5G*  </v>
      </c>
      <c r="J211" t="str">
        <f>""</f>
        <v/>
      </c>
    </row>
    <row r="212" spans="1:10">
      <c r="A212" s="1" t="str">
        <f>"3d6.(3H).4s.4p.(3P*)"</f>
        <v>3d6.(3H).4s.4p.(3P*)</v>
      </c>
      <c r="B212" t="str">
        <f>"z 3H*"</f>
        <v>z 3H*</v>
      </c>
      <c r="C212" t="str">
        <f>"6"</f>
        <v>6</v>
      </c>
      <c r="D212" t="str">
        <f>""</f>
        <v/>
      </c>
      <c r="E212" t="str">
        <f>"46982.320"</f>
        <v>46982.320</v>
      </c>
      <c r="F212" t="str">
        <f>""</f>
        <v/>
      </c>
      <c r="G212" t="str">
        <f>"0.002"</f>
        <v>0.002</v>
      </c>
      <c r="H212" t="str">
        <f>"1.200"</f>
        <v>1.200</v>
      </c>
      <c r="I212" t="str">
        <f>"  36             :    37  3d7.(2G).4p           3H*  "</f>
        <v xml:space="preserve">  36             :    37  3d7.(2G).4p           3H*  </v>
      </c>
      <c r="J212" t="str">
        <f>""</f>
        <v/>
      </c>
    </row>
    <row r="213" spans="1:10">
      <c r="A213" s="1" t="str">
        <f>"3d6.(3H).4s.4p.(3P*)"</f>
        <v>3d6.(3H).4s.4p.(3P*)</v>
      </c>
      <c r="B213" t="str">
        <f>"z 3H*"</f>
        <v>z 3H*</v>
      </c>
      <c r="C213" t="str">
        <f>"5"</f>
        <v>5</v>
      </c>
      <c r="D213" t="str">
        <f>""</f>
        <v/>
      </c>
      <c r="E213" t="str">
        <f>"47008.371"</f>
        <v>47008.371</v>
      </c>
      <c r="F213" t="str">
        <f>""</f>
        <v/>
      </c>
      <c r="G213" t="str">
        <f t="shared" ref="G213:G222" si="19">"0.001"</f>
        <v>0.001</v>
      </c>
      <c r="H213" t="str">
        <f>"1.060"</f>
        <v>1.060</v>
      </c>
      <c r="I213" t="str">
        <f>"  34             :    36  3d7.(2G).4p           3H*  "</f>
        <v xml:space="preserve">  34             :    36  3d7.(2G).4p           3H*  </v>
      </c>
      <c r="J213" t="str">
        <f>""</f>
        <v/>
      </c>
    </row>
    <row r="214" spans="1:10">
      <c r="A214" s="1" t="str">
        <f>"3d6.(3H).4s.4p.(3P*)"</f>
        <v>3d6.(3H).4s.4p.(3P*)</v>
      </c>
      <c r="B214" t="str">
        <f>"z 3H*"</f>
        <v>z 3H*</v>
      </c>
      <c r="C214" t="str">
        <f>"4"</f>
        <v>4</v>
      </c>
      <c r="D214" t="str">
        <f>""</f>
        <v/>
      </c>
      <c r="E214" t="str">
        <f>"47106.484"</f>
        <v>47106.484</v>
      </c>
      <c r="F214" t="str">
        <f>""</f>
        <v/>
      </c>
      <c r="G214" t="str">
        <f t="shared" si="19"/>
        <v>0.001</v>
      </c>
      <c r="H214" t="str">
        <f>"0.880"</f>
        <v>0.880</v>
      </c>
      <c r="I214" t="str">
        <f>"  31             :    18  3d7.(2G).4p           3H*  "</f>
        <v xml:space="preserve">  31             :    18  3d7.(2G).4p           3H*  </v>
      </c>
      <c r="J214" t="str">
        <f>""</f>
        <v/>
      </c>
    </row>
    <row r="215" spans="1:10">
      <c r="A215" s="1" t="str">
        <f>"3d7.(4F).5s"</f>
        <v>3d7.(4F).5s</v>
      </c>
      <c r="B215" t="str">
        <f>"e 5F"</f>
        <v>e 5F</v>
      </c>
      <c r="C215" t="str">
        <f>"5"</f>
        <v>5</v>
      </c>
      <c r="D215" t="str">
        <f>""</f>
        <v/>
      </c>
      <c r="E215" t="str">
        <f>"47005.506"</f>
        <v>47005.506</v>
      </c>
      <c r="F215" t="str">
        <f>""</f>
        <v/>
      </c>
      <c r="G215" t="str">
        <f t="shared" si="19"/>
        <v>0.001</v>
      </c>
      <c r="H215" t="str">
        <f>"1.421"</f>
        <v>1.421</v>
      </c>
      <c r="I215" t="str">
        <f>"                                                     "</f>
        <v xml:space="preserve">                                                     </v>
      </c>
      <c r="J215" t="str">
        <f>""</f>
        <v/>
      </c>
    </row>
    <row r="216" spans="1:10">
      <c r="A216" s="1" t="str">
        <f>"3d7.(4F).5s"</f>
        <v>3d7.(4F).5s</v>
      </c>
      <c r="B216" t="str">
        <f>"e 5F"</f>
        <v>e 5F</v>
      </c>
      <c r="C216" t="str">
        <f>"4"</f>
        <v>4</v>
      </c>
      <c r="D216" t="str">
        <f>""</f>
        <v/>
      </c>
      <c r="E216" t="str">
        <f>"47377.955"</f>
        <v>47377.955</v>
      </c>
      <c r="F216" t="str">
        <f>""</f>
        <v/>
      </c>
      <c r="G216" t="str">
        <f t="shared" si="19"/>
        <v>0.001</v>
      </c>
      <c r="H216" t="str">
        <f>"1.331"</f>
        <v>1.331</v>
      </c>
      <c r="I216" t="str">
        <f>"                                                     "</f>
        <v xml:space="preserve">                                                     </v>
      </c>
      <c r="J216" t="str">
        <f>""</f>
        <v/>
      </c>
    </row>
    <row r="217" spans="1:10">
      <c r="A217" s="1" t="str">
        <f>"3d7.(4F).5s"</f>
        <v>3d7.(4F).5s</v>
      </c>
      <c r="B217" t="str">
        <f>"e 5F"</f>
        <v>e 5F</v>
      </c>
      <c r="C217" t="str">
        <f>"3"</f>
        <v>3</v>
      </c>
      <c r="D217" t="str">
        <f>""</f>
        <v/>
      </c>
      <c r="E217" t="str">
        <f>"47755.537"</f>
        <v>47755.537</v>
      </c>
      <c r="F217" t="str">
        <f>""</f>
        <v/>
      </c>
      <c r="G217" t="str">
        <f t="shared" si="19"/>
        <v>0.001</v>
      </c>
      <c r="H217" t="str">
        <f>"1.236"</f>
        <v>1.236</v>
      </c>
      <c r="I217" t="str">
        <f>"                                                     "</f>
        <v xml:space="preserve">                                                     </v>
      </c>
      <c r="J217" t="str">
        <f>""</f>
        <v/>
      </c>
    </row>
    <row r="218" spans="1:10">
      <c r="A218" s="1" t="str">
        <f>"3d7.(4F).5s"</f>
        <v>3d7.(4F).5s</v>
      </c>
      <c r="B218" t="str">
        <f>"e 5F"</f>
        <v>e 5F</v>
      </c>
      <c r="C218" t="str">
        <f>"2"</f>
        <v>2</v>
      </c>
      <c r="D218" t="str">
        <f>""</f>
        <v/>
      </c>
      <c r="E218" t="str">
        <f>"48036.673"</f>
        <v>48036.673</v>
      </c>
      <c r="F218" t="str">
        <f>""</f>
        <v/>
      </c>
      <c r="G218" t="str">
        <f t="shared" si="19"/>
        <v>0.001</v>
      </c>
      <c r="H218" t="str">
        <f>"0.991"</f>
        <v>0.991</v>
      </c>
      <c r="I218" t="str">
        <f>"                                                     "</f>
        <v xml:space="preserve">                                                     </v>
      </c>
      <c r="J218" t="str">
        <f>""</f>
        <v/>
      </c>
    </row>
    <row r="219" spans="1:10">
      <c r="A219" s="1" t="str">
        <f>"3d7.(4F).5s"</f>
        <v>3d7.(4F).5s</v>
      </c>
      <c r="B219" t="str">
        <f>"e 5F"</f>
        <v>e 5F</v>
      </c>
      <c r="C219" t="str">
        <f>"1"</f>
        <v>1</v>
      </c>
      <c r="D219" t="str">
        <f>""</f>
        <v/>
      </c>
      <c r="E219" t="str">
        <f>"48221.324"</f>
        <v>48221.324</v>
      </c>
      <c r="F219" t="str">
        <f>""</f>
        <v/>
      </c>
      <c r="G219" t="str">
        <f t="shared" si="19"/>
        <v>0.001</v>
      </c>
      <c r="H219" t="str">
        <f>"0.007"</f>
        <v>0.007</v>
      </c>
      <c r="I219" t="str">
        <f>"                                                     "</f>
        <v xml:space="preserve">                                                     </v>
      </c>
      <c r="J219" t="str">
        <f>""</f>
        <v/>
      </c>
    </row>
    <row r="220" spans="1:10">
      <c r="A220" s="1" t="str">
        <f>"3d7.(4P).4p"</f>
        <v>3d7.(4P).4p</v>
      </c>
      <c r="B220" t="str">
        <f>"w 3D*"</f>
        <v>w 3D*</v>
      </c>
      <c r="C220" t="str">
        <f>"3"</f>
        <v>3</v>
      </c>
      <c r="D220" t="str">
        <f>""</f>
        <v/>
      </c>
      <c r="E220" t="str">
        <f>"47017.188"</f>
        <v>47017.188</v>
      </c>
      <c r="F220" t="str">
        <f>""</f>
        <v/>
      </c>
      <c r="G220" t="str">
        <f t="shared" si="19"/>
        <v>0.001</v>
      </c>
      <c r="H220" t="str">
        <f>"1.346"</f>
        <v>1.346</v>
      </c>
      <c r="I220" t="str">
        <f>"  54             :    18  3d6.(3F2).4s.4p.(3P*) 3D*  "</f>
        <v xml:space="preserve">  54             :    18  3d6.(3F2).4s.4p.(3P*) 3D*  </v>
      </c>
      <c r="J220" t="str">
        <f>""</f>
        <v/>
      </c>
    </row>
    <row r="221" spans="1:10">
      <c r="A221" s="1" t="str">
        <f>"3d7.(4P).4p"</f>
        <v>3d7.(4P).4p</v>
      </c>
      <c r="B221" t="str">
        <f>"w 3D*"</f>
        <v>w 3D*</v>
      </c>
      <c r="C221" t="str">
        <f>"2"</f>
        <v>2</v>
      </c>
      <c r="D221" t="str">
        <f>""</f>
        <v/>
      </c>
      <c r="E221" t="str">
        <f>"47136.084"</f>
        <v>47136.084</v>
      </c>
      <c r="F221" t="str">
        <f>""</f>
        <v/>
      </c>
      <c r="G221" t="str">
        <f t="shared" si="19"/>
        <v>0.001</v>
      </c>
      <c r="H221" t="str">
        <f>"1.216"</f>
        <v>1.216</v>
      </c>
      <c r="I221" t="str">
        <f>"  53             :    19  3d6.(3F2).4s.4p.(3P*) 5D*  "</f>
        <v xml:space="preserve">  53             :    19  3d6.(3F2).4s.4p.(3P*) 5D*  </v>
      </c>
      <c r="J221" t="str">
        <f>""</f>
        <v/>
      </c>
    </row>
    <row r="222" spans="1:10">
      <c r="A222" s="1" t="str">
        <f>"3d7.(4P).4p"</f>
        <v>3d7.(4P).4p</v>
      </c>
      <c r="B222" t="str">
        <f>"w 3D*"</f>
        <v>w 3D*</v>
      </c>
      <c r="C222" t="str">
        <f>"1"</f>
        <v>1</v>
      </c>
      <c r="D222" t="str">
        <f>""</f>
        <v/>
      </c>
      <c r="E222" t="str">
        <f>"47272.027"</f>
        <v>47272.027</v>
      </c>
      <c r="F222" t="str">
        <f>""</f>
        <v/>
      </c>
      <c r="G222" t="str">
        <f t="shared" si="19"/>
        <v>0.001</v>
      </c>
      <c r="H222" t="str">
        <f>"0.767"</f>
        <v>0.767</v>
      </c>
      <c r="I222" t="str">
        <f>"  47             :    20  3d6.(3F2).4s.4p.(3P*) 3D*  "</f>
        <v xml:space="preserve">  47             :    20  3d6.(3F2).4s.4p.(3P*) 3D*  </v>
      </c>
      <c r="J222" t="str">
        <f>""</f>
        <v/>
      </c>
    </row>
    <row r="223" spans="1:10">
      <c r="A223" s="1" t="str">
        <f>"3d6.(3G).4s.4p.(3P*)"</f>
        <v>3d6.(3G).4s.4p.(3P*)</v>
      </c>
      <c r="B223" t="str">
        <f>"w 5G*"</f>
        <v>w 5G*</v>
      </c>
      <c r="C223" t="str">
        <f>"6"</f>
        <v>6</v>
      </c>
      <c r="D223" t="str">
        <f>""</f>
        <v/>
      </c>
      <c r="E223" t="str">
        <f>"47363.376"</f>
        <v>47363.376</v>
      </c>
      <c r="F223" t="str">
        <f>""</f>
        <v/>
      </c>
      <c r="G223" t="str">
        <f>"0.002"</f>
        <v>0.002</v>
      </c>
      <c r="H223" t="str">
        <f>"1.306"</f>
        <v>1.306</v>
      </c>
      <c r="I223" t="str">
        <f>"  78             :    11  3d7.(2G).4p           3H*  "</f>
        <v xml:space="preserve">  78             :    11  3d7.(2G).4p           3H*  </v>
      </c>
      <c r="J223" t="str">
        <f>""</f>
        <v/>
      </c>
    </row>
    <row r="224" spans="1:10">
      <c r="A224" s="1" t="str">
        <f>"3d6.(3G).4s.4p.(3P*)"</f>
        <v>3d6.(3G).4s.4p.(3P*)</v>
      </c>
      <c r="B224" t="str">
        <f>"w 5G*"</f>
        <v>w 5G*</v>
      </c>
      <c r="C224" t="str">
        <f>"5"</f>
        <v>5</v>
      </c>
      <c r="D224" t="str">
        <f>""</f>
        <v/>
      </c>
      <c r="E224" t="str">
        <f>"47420.228"</f>
        <v>47420.228</v>
      </c>
      <c r="F224" t="str">
        <f>""</f>
        <v/>
      </c>
      <c r="G224" t="str">
        <f t="shared" ref="G224:G236" si="20">"0.001"</f>
        <v>0.001</v>
      </c>
      <c r="H224" t="str">
        <f>"1.305"</f>
        <v>1.305</v>
      </c>
      <c r="I224" t="str">
        <f>"  73             :     7  3d6.(3G).4s.4p.(3P*)  5F*  "</f>
        <v xml:space="preserve">  73             :     7  3d6.(3G).4s.4p.(3P*)  5F*  </v>
      </c>
      <c r="J224" t="str">
        <f>""</f>
        <v/>
      </c>
    </row>
    <row r="225" spans="1:10">
      <c r="A225" s="1" t="str">
        <f>"3d6.(3G).4s.4p.(3P*)"</f>
        <v>3d6.(3G).4s.4p.(3P*)</v>
      </c>
      <c r="B225" t="str">
        <f>"w 5G*"</f>
        <v>w 5G*</v>
      </c>
      <c r="C225" t="str">
        <f>"4"</f>
        <v>4</v>
      </c>
      <c r="D225" t="str">
        <f>""</f>
        <v/>
      </c>
      <c r="E225" t="str">
        <f>"47590.048"</f>
        <v>47590.048</v>
      </c>
      <c r="F225" t="str">
        <f>""</f>
        <v/>
      </c>
      <c r="G225" t="str">
        <f t="shared" si="20"/>
        <v>0.001</v>
      </c>
      <c r="H225" t="str">
        <f>"1.145"</f>
        <v>1.145</v>
      </c>
      <c r="I225" t="str">
        <f>"  73             :    10  3d6.(3F2).4s.4p.(1P*) 3G*  "</f>
        <v xml:space="preserve">  73             :    10  3d6.(3F2).4s.4p.(1P*) 3G*  </v>
      </c>
      <c r="J225" t="str">
        <f>""</f>
        <v/>
      </c>
    </row>
    <row r="226" spans="1:10">
      <c r="A226" s="1" t="str">
        <f>"3d6.(3G).4s.4p.(3P*)"</f>
        <v>3d6.(3G).4s.4p.(3P*)</v>
      </c>
      <c r="B226" t="str">
        <f>"w 5G*"</f>
        <v>w 5G*</v>
      </c>
      <c r="C226" t="str">
        <f>"3"</f>
        <v>3</v>
      </c>
      <c r="D226" t="str">
        <f>""</f>
        <v/>
      </c>
      <c r="E226" t="str">
        <f>"47693.239"</f>
        <v>47693.239</v>
      </c>
      <c r="F226" t="str">
        <f>""</f>
        <v/>
      </c>
      <c r="G226" t="str">
        <f t="shared" si="20"/>
        <v>0.001</v>
      </c>
      <c r="H226" t="str">
        <f>"0.931"</f>
        <v>0.931</v>
      </c>
      <c r="I226" t="str">
        <f>"  42             :    18  3d6.(3F2).4s.4p.(1P*) 3G*  "</f>
        <v xml:space="preserve">  42             :    18  3d6.(3F2).4s.4p.(1P*) 3G*  </v>
      </c>
      <c r="J226" t="str">
        <f>""</f>
        <v/>
      </c>
    </row>
    <row r="227" spans="1:10">
      <c r="A227" s="1" t="str">
        <f>"3d6.(3G).4s.4p.(3P*)"</f>
        <v>3d6.(3G).4s.4p.(3P*)</v>
      </c>
      <c r="B227" t="str">
        <f>"w 5G*"</f>
        <v>w 5G*</v>
      </c>
      <c r="C227" t="str">
        <f>"2"</f>
        <v>2</v>
      </c>
      <c r="D227" t="str">
        <f>""</f>
        <v/>
      </c>
      <c r="E227" t="str">
        <f>"47831.153"</f>
        <v>47831.153</v>
      </c>
      <c r="F227" t="str">
        <f>""</f>
        <v/>
      </c>
      <c r="G227" t="str">
        <f t="shared" si="20"/>
        <v>0.001</v>
      </c>
      <c r="H227" t="str">
        <f>"0.472"</f>
        <v>0.472</v>
      </c>
      <c r="I227" t="str">
        <f>"  65             :    16  3d7.(2G).4p           3F*  "</f>
        <v xml:space="preserve">  65             :    16  3d7.(2G).4p           3F*  </v>
      </c>
      <c r="J227" t="str">
        <f>""</f>
        <v/>
      </c>
    </row>
    <row r="228" spans="1:10">
      <c r="A228" s="1" t="str">
        <f>"3d6.(3P2).4s.4p.(3P*)"</f>
        <v>3d6.(3P2).4s.4p.(3P*)</v>
      </c>
      <c r="B228" t="str">
        <f>"1D*"</f>
        <v>1D*</v>
      </c>
      <c r="C228" t="str">
        <f>"2"</f>
        <v>2</v>
      </c>
      <c r="D228" t="str">
        <f>""</f>
        <v/>
      </c>
      <c r="E228" t="str">
        <f>"47419.687"</f>
        <v>47419.687</v>
      </c>
      <c r="F228" t="str">
        <f>""</f>
        <v/>
      </c>
      <c r="G228" t="str">
        <f t="shared" si="20"/>
        <v>0.001</v>
      </c>
      <c r="H228" t="str">
        <f>"1.137"</f>
        <v>1.137</v>
      </c>
      <c r="I228" t="str">
        <f>"  36             :    12  3d7.(2P).4p           1D*  "</f>
        <v xml:space="preserve">  36             :    12  3d7.(2P).4p           1D*  </v>
      </c>
      <c r="J228" t="str">
        <f>""</f>
        <v/>
      </c>
    </row>
    <row r="229" spans="1:10">
      <c r="A229" s="1" t="str">
        <f>"3d7.(2G).4p"</f>
        <v>3d7.(2G).4p</v>
      </c>
      <c r="B229" t="str">
        <f>"z 1G*"</f>
        <v>z 1G*</v>
      </c>
      <c r="C229" t="str">
        <f>"4"</f>
        <v>4</v>
      </c>
      <c r="D229" t="str">
        <f>""</f>
        <v/>
      </c>
      <c r="E229" t="str">
        <f>"47452.717"</f>
        <v>47452.717</v>
      </c>
      <c r="F229" t="str">
        <f>""</f>
        <v/>
      </c>
      <c r="G229" t="str">
        <f t="shared" si="20"/>
        <v>0.001</v>
      </c>
      <c r="H229" t="str">
        <f>"1.025"</f>
        <v>1.025</v>
      </c>
      <c r="I229" t="str">
        <f>"  31             :    23  3d6.(3H).4s.4p.(3P*)  1G*  "</f>
        <v xml:space="preserve">  31             :    23  3d6.(3H).4s.4p.(3P*)  1G*  </v>
      </c>
      <c r="J229" t="str">
        <f>""</f>
        <v/>
      </c>
    </row>
    <row r="230" spans="1:10">
      <c r="A230" s="1" t="str">
        <f>"3d7.(4P).4p"</f>
        <v>3d7.(4P).4p</v>
      </c>
      <c r="B230" t="str">
        <f>"y 3S*"</f>
        <v>y 3S*</v>
      </c>
      <c r="C230" t="str">
        <f>"1"</f>
        <v>1</v>
      </c>
      <c r="D230" t="str">
        <f>""</f>
        <v/>
      </c>
      <c r="E230" t="str">
        <f>"47555.610"</f>
        <v>47555.610</v>
      </c>
      <c r="F230" t="str">
        <f>""</f>
        <v/>
      </c>
      <c r="G230" t="str">
        <f t="shared" si="20"/>
        <v>0.001</v>
      </c>
      <c r="H230" t="str">
        <f>"1.884"</f>
        <v>1.884</v>
      </c>
      <c r="I230" t="str">
        <f>"  60             :     9  3d7.(4P).4p           3D*  "</f>
        <v xml:space="preserve">  60             :     9  3d7.(4P).4p           3D*  </v>
      </c>
      <c r="J230" t="str">
        <f>""</f>
        <v/>
      </c>
    </row>
    <row r="231" spans="1:10">
      <c r="A231" s="1" t="str">
        <f>"3d6.(3G).4s.4p.(3P*)"</f>
        <v>3d6.(3G).4s.4p.(3P*)</v>
      </c>
      <c r="B231" t="str">
        <f>"v 5F*"</f>
        <v>v 5F*</v>
      </c>
      <c r="C231" t="str">
        <f>"5"</f>
        <v>5</v>
      </c>
      <c r="D231" t="str">
        <f>""</f>
        <v/>
      </c>
      <c r="E231" t="str">
        <f>"47606.114"</f>
        <v>47606.114</v>
      </c>
      <c r="F231" t="str">
        <f>""</f>
        <v/>
      </c>
      <c r="G231" t="str">
        <f t="shared" si="20"/>
        <v>0.001</v>
      </c>
      <c r="H231" t="str">
        <f>"1.317"</f>
        <v>1.317</v>
      </c>
      <c r="I231" t="str">
        <f>"  61             :    11  3d6.(3G).4s.4p.(3P*)  5H*  "</f>
        <v xml:space="preserve">  61             :    11  3d6.(3G).4s.4p.(3P*)  5H*  </v>
      </c>
      <c r="J231" t="str">
        <f>""</f>
        <v/>
      </c>
    </row>
    <row r="232" spans="1:10">
      <c r="A232" s="1" t="str">
        <f>"3d6.(3G).4s.4p.(3P*)"</f>
        <v>3d6.(3G).4s.4p.(3P*)</v>
      </c>
      <c r="B232" t="str">
        <f>"v 5F*"</f>
        <v>v 5F*</v>
      </c>
      <c r="C232" t="str">
        <f>"4"</f>
        <v>4</v>
      </c>
      <c r="D232" t="str">
        <f>""</f>
        <v/>
      </c>
      <c r="E232" t="str">
        <f>"47929.997"</f>
        <v>47929.997</v>
      </c>
      <c r="F232" t="str">
        <f>""</f>
        <v/>
      </c>
      <c r="G232" t="str">
        <f t="shared" si="20"/>
        <v>0.001</v>
      </c>
      <c r="H232" t="str">
        <f>"1.264"</f>
        <v>1.264</v>
      </c>
      <c r="I232" t="str">
        <f>"  55             :    20  3d6.(3G).4s.4p.(3P*)  5H*  "</f>
        <v xml:space="preserve">  55             :    20  3d6.(3G).4s.4p.(3P*)  5H*  </v>
      </c>
      <c r="J232" t="str">
        <f>""</f>
        <v/>
      </c>
    </row>
    <row r="233" spans="1:10">
      <c r="A233" s="1" t="str">
        <f>"3d6.(3G).4s.4p.(3P*)"</f>
        <v>3d6.(3G).4s.4p.(3P*)</v>
      </c>
      <c r="B233" t="str">
        <f>"v 5F*"</f>
        <v>v 5F*</v>
      </c>
      <c r="C233" t="str">
        <f>"3"</f>
        <v>3</v>
      </c>
      <c r="D233" t="str">
        <f>""</f>
        <v/>
      </c>
      <c r="E233" t="str">
        <f>"48122.928"</f>
        <v>48122.928</v>
      </c>
      <c r="F233" t="str">
        <f>""</f>
        <v/>
      </c>
      <c r="G233" t="str">
        <f t="shared" si="20"/>
        <v>0.001</v>
      </c>
      <c r="H233" t="str">
        <f>"1.236"</f>
        <v>1.236</v>
      </c>
      <c r="I233" t="str">
        <f>"  70             :     7  3d6.(3D).4s.4p.(3P*)  5F*  "</f>
        <v xml:space="preserve">  70             :     7  3d6.(3D).4s.4p.(3P*)  5F*  </v>
      </c>
      <c r="J233" t="str">
        <f>""</f>
        <v/>
      </c>
    </row>
    <row r="234" spans="1:10">
      <c r="A234" s="1" t="str">
        <f>"3d6.(3G).4s.4p.(3P*)"</f>
        <v>3d6.(3G).4s.4p.(3P*)</v>
      </c>
      <c r="B234" t="str">
        <f>"v 5F*"</f>
        <v>v 5F*</v>
      </c>
      <c r="C234" t="str">
        <f>"2"</f>
        <v>2</v>
      </c>
      <c r="D234" t="str">
        <f>""</f>
        <v/>
      </c>
      <c r="E234" t="str">
        <f>"48238.847"</f>
        <v>48238.847</v>
      </c>
      <c r="F234" t="str">
        <f>""</f>
        <v/>
      </c>
      <c r="G234" t="str">
        <f t="shared" si="20"/>
        <v>0.001</v>
      </c>
      <c r="H234" t="str">
        <f>"1.267"</f>
        <v>1.267</v>
      </c>
      <c r="I234" t="str">
        <f>"  74             :     7  3d6.(3D).4s.4p.(3P*)  5F*  "</f>
        <v xml:space="preserve">  74             :     7  3d6.(3D).4s.4p.(3P*)  5F*  </v>
      </c>
      <c r="J234" t="str">
        <f>""</f>
        <v/>
      </c>
    </row>
    <row r="235" spans="1:10">
      <c r="A235" s="1" t="str">
        <f>"3d6.(3G).4s.4p.(3P*)"</f>
        <v>3d6.(3G).4s.4p.(3P*)</v>
      </c>
      <c r="B235" t="str">
        <f>"v 5F*"</f>
        <v>v 5F*</v>
      </c>
      <c r="C235" t="str">
        <f>"1"</f>
        <v>1</v>
      </c>
      <c r="D235" t="str">
        <f>""</f>
        <v/>
      </c>
      <c r="E235" t="str">
        <f>"48350.606"</f>
        <v>48350.606</v>
      </c>
      <c r="F235" t="str">
        <f>""</f>
        <v/>
      </c>
      <c r="G235" t="str">
        <f t="shared" si="20"/>
        <v>0.001</v>
      </c>
      <c r="H235" t="str">
        <f>"0.230"</f>
        <v>0.230</v>
      </c>
      <c r="I235" t="str">
        <f>"  70             :     7  3d6.(3D).4s.4p.(3P*)  5F*  "</f>
        <v xml:space="preserve">  70             :     7  3d6.(3D).4s.4p.(3P*)  5F*  </v>
      </c>
      <c r="J235" t="str">
        <f>""</f>
        <v/>
      </c>
    </row>
    <row r="236" spans="1:10">
      <c r="A236" s="1" t="str">
        <f>"3d6.(3F2).4s.4p.(3P*)"</f>
        <v>3d6.(3F2).4s.4p.(3P*)</v>
      </c>
      <c r="B236" t="str">
        <f>"x 3G*"</f>
        <v>x 3G*</v>
      </c>
      <c r="C236" t="str">
        <f>"4"</f>
        <v>4</v>
      </c>
      <c r="D236" t="str">
        <f>""</f>
        <v/>
      </c>
      <c r="E236" t="str">
        <f>"47812.118"</f>
        <v>47812.118</v>
      </c>
      <c r="F236" t="str">
        <f>""</f>
        <v/>
      </c>
      <c r="G236" t="str">
        <f t="shared" si="20"/>
        <v>0.001</v>
      </c>
      <c r="H236" t="str">
        <f>"1.061"</f>
        <v>1.061</v>
      </c>
      <c r="I236" t="str">
        <f>"  51             :    22  3d6.(3G).4s.4p.(3P*)  5H*  "</f>
        <v xml:space="preserve">  51             :    22  3d6.(3G).4s.4p.(3P*)  5H*  </v>
      </c>
      <c r="J236" t="str">
        <f>""</f>
        <v/>
      </c>
    </row>
    <row r="237" spans="1:10">
      <c r="A237" s="1" t="str">
        <f>"3d6.(3F2).4s.4p.(3P*)"</f>
        <v>3d6.(3F2).4s.4p.(3P*)</v>
      </c>
      <c r="B237" t="str">
        <f>"x 3G*"</f>
        <v>x 3G*</v>
      </c>
      <c r="C237" t="str">
        <f>"3"</f>
        <v>3</v>
      </c>
      <c r="D237" t="str">
        <f>""</f>
        <v/>
      </c>
      <c r="E237" t="str">
        <f>"47834.221"</f>
        <v>47834.221</v>
      </c>
      <c r="F237" t="str">
        <f>""</f>
        <v/>
      </c>
      <c r="G237" t="str">
        <f>"0.002"</f>
        <v>0.002</v>
      </c>
      <c r="H237" t="str">
        <f>"0.668"</f>
        <v>0.668</v>
      </c>
      <c r="I237" t="str">
        <f>"  39             :    37  3d6.(3G).4s.4p.(3P*)  5G*  "</f>
        <v xml:space="preserve">  39             :    37  3d6.(3G).4s.4p.(3P*)  5G*  </v>
      </c>
      <c r="J237" t="str">
        <f>""</f>
        <v/>
      </c>
    </row>
    <row r="238" spans="1:10">
      <c r="A238" s="1" t="str">
        <f>"3d6.(3F2).4s.4p.(3P*)"</f>
        <v>3d6.(3F2).4s.4p.(3P*)</v>
      </c>
      <c r="B238" t="str">
        <f>"x 3G*"</f>
        <v>x 3G*</v>
      </c>
      <c r="C238" t="str">
        <f>"5"</f>
        <v>5</v>
      </c>
      <c r="D238" t="str">
        <f>""</f>
        <v/>
      </c>
      <c r="E238" t="str">
        <f>"47834.550"</f>
        <v>47834.550</v>
      </c>
      <c r="F238" t="str">
        <f>""</f>
        <v/>
      </c>
      <c r="G238" t="str">
        <f>"0.001"</f>
        <v>0.001</v>
      </c>
      <c r="H238" t="str">
        <f>"1.203"</f>
        <v>1.203</v>
      </c>
      <c r="I238" t="str">
        <f>"  49             :    18  3d6.(3G).4s.4p.(3P*)  5H*  "</f>
        <v xml:space="preserve">  49             :    18  3d6.(3G).4s.4p.(3P*)  5H*  </v>
      </c>
      <c r="J238" t="str">
        <f>""</f>
        <v/>
      </c>
    </row>
    <row r="239" spans="1:10">
      <c r="A239" s="1" t="str">
        <f>"3d6.(3G).4s.4p.(3P*)"</f>
        <v>3d6.(3G).4s.4p.(3P*)</v>
      </c>
      <c r="B239" t="str">
        <f>"y 5H*"</f>
        <v>y 5H*</v>
      </c>
      <c r="C239" t="str">
        <f>"6"</f>
        <v>6</v>
      </c>
      <c r="D239" t="str">
        <f>""</f>
        <v/>
      </c>
      <c r="E239" t="str">
        <f>"47855.143"</f>
        <v>47855.143</v>
      </c>
      <c r="F239" t="str">
        <f>""</f>
        <v/>
      </c>
      <c r="G239" t="str">
        <f>"0.002"</f>
        <v>0.002</v>
      </c>
      <c r="H239" t="str">
        <f>""</f>
        <v/>
      </c>
      <c r="I239" t="str">
        <f>"                                                     "</f>
        <v xml:space="preserve">                                                     </v>
      </c>
      <c r="J239" t="str">
        <f>""</f>
        <v/>
      </c>
    </row>
    <row r="240" spans="1:10">
      <c r="A240" s="1" t="str">
        <f>"3d6.(3G).4s.4p.(3P*)"</f>
        <v>3d6.(3G).4s.4p.(3P*)</v>
      </c>
      <c r="B240" t="str">
        <f>"y 5H*"</f>
        <v>y 5H*</v>
      </c>
      <c r="C240" t="str">
        <f>"5"</f>
        <v>5</v>
      </c>
      <c r="D240" t="str">
        <f>""</f>
        <v/>
      </c>
      <c r="E240" t="str">
        <f>"48231.280"</f>
        <v>48231.280</v>
      </c>
      <c r="F240" t="str">
        <f>""</f>
        <v/>
      </c>
      <c r="G240" t="str">
        <f>"0.001"</f>
        <v>0.001</v>
      </c>
      <c r="H240" t="str">
        <f>"1.27?"</f>
        <v>1.27?</v>
      </c>
      <c r="I240" t="str">
        <f>"  67             :    10  3d6.(3F2).4s.4p.(3P*) 3G*  "</f>
        <v xml:space="preserve">  67             :    10  3d6.(3F2).4s.4p.(3P*) 3G*  </v>
      </c>
      <c r="J240" t="str">
        <f>""</f>
        <v/>
      </c>
    </row>
    <row r="241" spans="1:10">
      <c r="A241" s="1" t="str">
        <f>"3d6.(3G).4s.4p.(3P*)"</f>
        <v>3d6.(3G).4s.4p.(3P*)</v>
      </c>
      <c r="B241" t="str">
        <f>"y 5H*"</f>
        <v>y 5H*</v>
      </c>
      <c r="C241" t="str">
        <f>"4"</f>
        <v>4</v>
      </c>
      <c r="D241" t="str">
        <f>""</f>
        <v/>
      </c>
      <c r="E241" t="str">
        <f>"48361.882"</f>
        <v>48361.882</v>
      </c>
      <c r="F241" t="str">
        <f>""</f>
        <v/>
      </c>
      <c r="G241" t="str">
        <f>"0.001"</f>
        <v>0.001</v>
      </c>
      <c r="H241" t="str">
        <f>"0.934"</f>
        <v>0.934</v>
      </c>
      <c r="I241" t="str">
        <f>"  44             :    18  3d6.(3F2).4s.4p.(3P*) 3G*  "</f>
        <v xml:space="preserve">  44             :    18  3d6.(3F2).4s.4p.(3P*) 3G*  </v>
      </c>
      <c r="J241" t="str">
        <f>""</f>
        <v/>
      </c>
    </row>
    <row r="242" spans="1:10">
      <c r="A242" s="1" t="str">
        <f>"3d6.(3G).4s.4p.(3P*)"</f>
        <v>3d6.(3G).4s.4p.(3P*)</v>
      </c>
      <c r="B242" t="str">
        <f>"y 5H*"</f>
        <v>y 5H*</v>
      </c>
      <c r="C242" t="str">
        <f>"3"</f>
        <v>3</v>
      </c>
      <c r="D242" t="str">
        <f>""</f>
        <v/>
      </c>
      <c r="E242" t="str">
        <f>"48475.686"</f>
        <v>48475.686</v>
      </c>
      <c r="F242" t="str">
        <f>""</f>
        <v/>
      </c>
      <c r="G242" t="str">
        <f>"0.002"</f>
        <v>0.002</v>
      </c>
      <c r="H242" t="str">
        <f>"0.584"</f>
        <v>0.584</v>
      </c>
      <c r="I242" t="str">
        <f>"  54             :    31  3d6.(3F2).4s.4p.(3P*) 3G*  "</f>
        <v xml:space="preserve">  54             :    31  3d6.(3F2).4s.4p.(3P*) 3G*  </v>
      </c>
      <c r="J242" t="str">
        <f>""</f>
        <v/>
      </c>
    </row>
    <row r="243" spans="1:10">
      <c r="A243" s="1" t="str">
        <f>"3d7.(4F).5s"</f>
        <v>3d7.(4F).5s</v>
      </c>
      <c r="B243" t="str">
        <f>"e 3F"</f>
        <v>e 3F</v>
      </c>
      <c r="C243" t="str">
        <f>"4"</f>
        <v>4</v>
      </c>
      <c r="D243" t="str">
        <f>""</f>
        <v/>
      </c>
      <c r="E243" t="str">
        <f>"47960.940"</f>
        <v>47960.940</v>
      </c>
      <c r="F243" t="str">
        <f>""</f>
        <v/>
      </c>
      <c r="G243" t="str">
        <f t="shared" ref="G243:G250" si="21">"0.001"</f>
        <v>0.001</v>
      </c>
      <c r="H243" t="str">
        <f>"1.288"</f>
        <v>1.288</v>
      </c>
      <c r="I243" t="str">
        <f t="shared" ref="I243:I249" si="22">"                                                     "</f>
        <v xml:space="preserve">                                                     </v>
      </c>
      <c r="J243" t="str">
        <f>""</f>
        <v/>
      </c>
    </row>
    <row r="244" spans="1:10">
      <c r="A244" s="1" t="str">
        <f>"3d7.(4F).5s"</f>
        <v>3d7.(4F).5s</v>
      </c>
      <c r="B244" t="str">
        <f>"e 3F"</f>
        <v>e 3F</v>
      </c>
      <c r="C244" t="str">
        <f>"3"</f>
        <v>3</v>
      </c>
      <c r="D244" t="str">
        <f>""</f>
        <v/>
      </c>
      <c r="E244" t="str">
        <f>"48531.865"</f>
        <v>48531.865</v>
      </c>
      <c r="F244" t="str">
        <f>""</f>
        <v/>
      </c>
      <c r="G244" t="str">
        <f t="shared" si="21"/>
        <v>0.001</v>
      </c>
      <c r="H244" t="str">
        <f>"1.107"</f>
        <v>1.107</v>
      </c>
      <c r="I244" t="str">
        <f t="shared" si="22"/>
        <v xml:space="preserve">                                                     </v>
      </c>
      <c r="J244" t="str">
        <f>""</f>
        <v/>
      </c>
    </row>
    <row r="245" spans="1:10">
      <c r="A245" s="1" t="str">
        <f>"3d7.(4F).5s"</f>
        <v>3d7.(4F).5s</v>
      </c>
      <c r="B245" t="str">
        <f>"e 3F"</f>
        <v>e 3F</v>
      </c>
      <c r="C245" t="str">
        <f>"2"</f>
        <v>2</v>
      </c>
      <c r="D245" t="str">
        <f>""</f>
        <v/>
      </c>
      <c r="E245" t="str">
        <f>"48928.388"</f>
        <v>48928.388</v>
      </c>
      <c r="F245" t="str">
        <f>""</f>
        <v/>
      </c>
      <c r="G245" t="str">
        <f t="shared" si="21"/>
        <v>0.001</v>
      </c>
      <c r="H245" t="str">
        <f>"0.622"</f>
        <v>0.622</v>
      </c>
      <c r="I245" t="str">
        <f t="shared" si="22"/>
        <v xml:space="preserve">                                                     </v>
      </c>
      <c r="J245" t="str">
        <f>""</f>
        <v/>
      </c>
    </row>
    <row r="246" spans="1:10">
      <c r="A246" s="1" t="str">
        <f>"3d5.(6S).4s2.4p"</f>
        <v>3d5.(6S).4s2.4p</v>
      </c>
      <c r="B246" t="str">
        <f>"v 5P*"</f>
        <v>v 5P*</v>
      </c>
      <c r="C246" t="str">
        <f>"3"</f>
        <v>3</v>
      </c>
      <c r="D246" t="str">
        <f>""</f>
        <v/>
      </c>
      <c r="E246" t="str">
        <f>"47966.585"</f>
        <v>47966.585</v>
      </c>
      <c r="F246" t="str">
        <f>""</f>
        <v/>
      </c>
      <c r="G246" t="str">
        <f t="shared" si="21"/>
        <v>0.001</v>
      </c>
      <c r="H246" t="str">
        <f>"1.646"</f>
        <v>1.646</v>
      </c>
      <c r="I246" t="str">
        <f t="shared" si="22"/>
        <v xml:space="preserve">                                                     </v>
      </c>
      <c r="J246" t="str">
        <f>""</f>
        <v/>
      </c>
    </row>
    <row r="247" spans="1:10">
      <c r="A247" s="1" t="str">
        <f>"3d5.(6S).4s2.4p"</f>
        <v>3d5.(6S).4s2.4p</v>
      </c>
      <c r="B247" t="str">
        <f>"v 5P*"</f>
        <v>v 5P*</v>
      </c>
      <c r="C247" t="str">
        <f>"2"</f>
        <v>2</v>
      </c>
      <c r="D247" t="str">
        <f>""</f>
        <v/>
      </c>
      <c r="E247" t="str">
        <f>"48163.446"</f>
        <v>48163.446</v>
      </c>
      <c r="F247" t="str">
        <f>""</f>
        <v/>
      </c>
      <c r="G247" t="str">
        <f t="shared" si="21"/>
        <v>0.001</v>
      </c>
      <c r="H247" t="str">
        <f>"1.740"</f>
        <v>1.740</v>
      </c>
      <c r="I247" t="str">
        <f t="shared" si="22"/>
        <v xml:space="preserve">                                                     </v>
      </c>
      <c r="J247" t="str">
        <f>""</f>
        <v/>
      </c>
    </row>
    <row r="248" spans="1:10">
      <c r="A248" s="1" t="str">
        <f>"3d5.(6S).4s2.4p"</f>
        <v>3d5.(6S).4s2.4p</v>
      </c>
      <c r="B248" t="str">
        <f>"v 5P*"</f>
        <v>v 5P*</v>
      </c>
      <c r="C248" t="str">
        <f>"1"</f>
        <v>1</v>
      </c>
      <c r="D248" t="str">
        <f>""</f>
        <v/>
      </c>
      <c r="E248" t="str">
        <f>"48289.871"</f>
        <v>48289.871</v>
      </c>
      <c r="F248" t="str">
        <f>""</f>
        <v/>
      </c>
      <c r="G248" t="str">
        <f t="shared" si="21"/>
        <v>0.001</v>
      </c>
      <c r="H248" t="str">
        <f>"2.213"</f>
        <v>2.213</v>
      </c>
      <c r="I248" t="str">
        <f t="shared" si="22"/>
        <v xml:space="preserve">                                                     </v>
      </c>
      <c r="J248" t="str">
        <f>""</f>
        <v/>
      </c>
    </row>
    <row r="249" spans="1:10">
      <c r="A249" s="1" t="str">
        <f>"3d6.(3H).4s.4p.(3P*)"</f>
        <v>3d6.(3H).4s.4p.(3P*)</v>
      </c>
      <c r="B249" t="str">
        <f>"1I*"</f>
        <v>1I*</v>
      </c>
      <c r="C249" t="str">
        <f>"6"</f>
        <v>6</v>
      </c>
      <c r="D249" t="str">
        <f>""</f>
        <v/>
      </c>
      <c r="E249" t="str">
        <f>"48098.293"</f>
        <v>48098.293</v>
      </c>
      <c r="F249" t="str">
        <f>""</f>
        <v/>
      </c>
      <c r="G249" t="str">
        <f t="shared" si="21"/>
        <v>0.001</v>
      </c>
      <c r="H249" t="str">
        <f>""</f>
        <v/>
      </c>
      <c r="I249" t="str">
        <f t="shared" si="22"/>
        <v xml:space="preserve">                                                     </v>
      </c>
      <c r="J249" t="str">
        <f>""</f>
        <v/>
      </c>
    </row>
    <row r="250" spans="1:10">
      <c r="A250" s="1" t="str">
        <f>"3d7.(4P).4p"</f>
        <v>3d7.(4P).4p</v>
      </c>
      <c r="B250" t="str">
        <f>"x 3P*"</f>
        <v>x 3P*</v>
      </c>
      <c r="C250" t="str">
        <f>"2"</f>
        <v>2</v>
      </c>
      <c r="D250" t="str">
        <f>""</f>
        <v/>
      </c>
      <c r="E250" t="str">
        <f>"48304.643"</f>
        <v>48304.643</v>
      </c>
      <c r="F250" t="str">
        <f>""</f>
        <v/>
      </c>
      <c r="G250" t="str">
        <f t="shared" si="21"/>
        <v>0.001</v>
      </c>
      <c r="H250" t="str">
        <f>"1.263"</f>
        <v>1.263</v>
      </c>
      <c r="I250" t="str">
        <f>"  36             :    21  3d7.(2P).4p           3P*  "</f>
        <v xml:space="preserve">  36             :    21  3d7.(2P).4p           3P*  </v>
      </c>
      <c r="J250" t="str">
        <f>""</f>
        <v/>
      </c>
    </row>
    <row r="251" spans="1:10">
      <c r="A251" s="1" t="str">
        <f>"3d7.(4P).4p"</f>
        <v>3d7.(4P).4p</v>
      </c>
      <c r="B251" t="str">
        <f>"x 3P*"</f>
        <v>x 3P*</v>
      </c>
      <c r="C251" t="str">
        <f>"0"</f>
        <v>0</v>
      </c>
      <c r="D251" t="str">
        <f>""</f>
        <v/>
      </c>
      <c r="E251" t="str">
        <f>"48460.113"</f>
        <v>48460.113</v>
      </c>
      <c r="F251" t="str">
        <f>""</f>
        <v/>
      </c>
      <c r="G251" t="str">
        <f>"0.002"</f>
        <v>0.002</v>
      </c>
      <c r="H251" t="str">
        <f>""</f>
        <v/>
      </c>
      <c r="I251" t="str">
        <f>"  42             :    23  3d7.(2P).4p           3P*  "</f>
        <v xml:space="preserve">  42             :    23  3d7.(2P).4p           3P*  </v>
      </c>
      <c r="J251" t="str">
        <f>""</f>
        <v/>
      </c>
    </row>
    <row r="252" spans="1:10">
      <c r="A252" s="1" t="str">
        <f>"3d7.(4P).4p"</f>
        <v>3d7.(4P).4p</v>
      </c>
      <c r="B252" t="str">
        <f>"x 3P*"</f>
        <v>x 3P*</v>
      </c>
      <c r="C252" t="str">
        <f>"1"</f>
        <v>1</v>
      </c>
      <c r="D252" t="str">
        <f>""</f>
        <v/>
      </c>
      <c r="E252" t="str">
        <f>"48516.138"</f>
        <v>48516.138</v>
      </c>
      <c r="F252" t="str">
        <f>""</f>
        <v/>
      </c>
      <c r="G252" t="str">
        <f>"0.001"</f>
        <v>0.001</v>
      </c>
      <c r="H252" t="str">
        <f>"1.547"</f>
        <v>1.547</v>
      </c>
      <c r="I252" t="str">
        <f>"  39             :    18  3d7.(2P).4p           3P*  "</f>
        <v xml:space="preserve">  39             :    18  3d7.(2P).4p           3P*  </v>
      </c>
      <c r="J252" t="str">
        <f>""</f>
        <v/>
      </c>
    </row>
    <row r="253" spans="1:10">
      <c r="A253" s="1" t="str">
        <f>"3d7.(2G).4p"</f>
        <v>3d7.(2G).4p</v>
      </c>
      <c r="B253" t="str">
        <f>"z 1H*"</f>
        <v>z 1H*</v>
      </c>
      <c r="C253" t="str">
        <f>"5"</f>
        <v>5</v>
      </c>
      <c r="D253" t="str">
        <f>""</f>
        <v/>
      </c>
      <c r="E253" t="str">
        <f>"48382.603"</f>
        <v>48382.603</v>
      </c>
      <c r="F253" t="str">
        <f>""</f>
        <v/>
      </c>
      <c r="G253" t="str">
        <f>"0.001"</f>
        <v>0.001</v>
      </c>
      <c r="H253" t="str">
        <f>"1.018"</f>
        <v>1.018</v>
      </c>
      <c r="I253" t="str">
        <f>"  68             :    10  3d6.(3H).4s.4p.(3P*)  1H*  "</f>
        <v xml:space="preserve">  68             :    10  3d6.(3H).4s.4p.(3P*)  1H*  </v>
      </c>
      <c r="J253" t="str">
        <f>""</f>
        <v/>
      </c>
    </row>
    <row r="254" spans="1:10">
      <c r="A254" s="1" t="str">
        <f>"3d6.(3H).4s.4p.(3P*)"</f>
        <v>3d6.(3H).4s.4p.(3P*)</v>
      </c>
      <c r="B254" t="str">
        <f>"y 1G*"</f>
        <v>y 1G*</v>
      </c>
      <c r="C254" t="str">
        <f>"4"</f>
        <v>4</v>
      </c>
      <c r="D254" t="str">
        <f>""</f>
        <v/>
      </c>
      <c r="E254" t="str">
        <f>"48702.535"</f>
        <v>48702.535</v>
      </c>
      <c r="F254" t="str">
        <f>""</f>
        <v/>
      </c>
      <c r="G254" t="str">
        <f>"0.001"</f>
        <v>0.001</v>
      </c>
      <c r="H254" t="str">
        <f>"1.063"</f>
        <v>1.063</v>
      </c>
      <c r="I254" t="str">
        <f>"  36             :    20  3d7.(2G).4p           1G*  "</f>
        <v xml:space="preserve">  36             :    20  3d7.(2G).4p           1G*  </v>
      </c>
      <c r="J254" t="str">
        <f>""</f>
        <v/>
      </c>
    </row>
    <row r="255" spans="1:10">
      <c r="A255" s="1" t="str">
        <f>"3d7.(2G).4p"</f>
        <v>3d7.(2G).4p</v>
      </c>
      <c r="B255" t="str">
        <f>"w 3F*"</f>
        <v>w 3F*</v>
      </c>
      <c r="C255" t="str">
        <f>"4"</f>
        <v>4</v>
      </c>
      <c r="D255" t="str">
        <f>""</f>
        <v/>
      </c>
      <c r="E255" t="str">
        <f>"49108.896"</f>
        <v>49108.896</v>
      </c>
      <c r="F255" t="str">
        <f>""</f>
        <v/>
      </c>
      <c r="G255" t="str">
        <f>"0.001"</f>
        <v>0.001</v>
      </c>
      <c r="H255" t="str">
        <f>"1.181"</f>
        <v>1.181</v>
      </c>
      <c r="I255" t="str">
        <f>"  39             :    26  3d6.(3F2).4s.4p.(3P*) 3F*  "</f>
        <v xml:space="preserve">  39             :    26  3d6.(3F2).4s.4p.(3P*) 3F*  </v>
      </c>
      <c r="J255" t="str">
        <f>""</f>
        <v/>
      </c>
    </row>
    <row r="256" spans="1:10">
      <c r="A256" s="1" t="str">
        <f>"3d7.(2G).4p"</f>
        <v>3d7.(2G).4p</v>
      </c>
      <c r="B256" t="str">
        <f>"w 3F*"</f>
        <v>w 3F*</v>
      </c>
      <c r="C256" t="str">
        <f>"3"</f>
        <v>3</v>
      </c>
      <c r="D256" t="str">
        <f>""</f>
        <v/>
      </c>
      <c r="E256" t="str">
        <f>"49242.886"</f>
        <v>49242.886</v>
      </c>
      <c r="F256" t="str">
        <f>""</f>
        <v/>
      </c>
      <c r="G256" t="str">
        <f>"0.001"</f>
        <v>0.001</v>
      </c>
      <c r="H256" t="str">
        <f>"1.165"</f>
        <v>1.165</v>
      </c>
      <c r="I256" t="str">
        <f>"  37             :    25  3d6.(3F2).4s.4p.(3P*) 3F*  "</f>
        <v xml:space="preserve">  37             :    25  3d6.(3F2).4s.4p.(3P*) 3F*  </v>
      </c>
      <c r="J256" t="str">
        <f>""</f>
        <v/>
      </c>
    </row>
    <row r="257" spans="1:10">
      <c r="A257" s="1" t="str">
        <f>"3d7.(2G).4p"</f>
        <v>3d7.(2G).4p</v>
      </c>
      <c r="B257" t="str">
        <f>"w 3F*"</f>
        <v>w 3F*</v>
      </c>
      <c r="C257" t="str">
        <f>"2"</f>
        <v>2</v>
      </c>
      <c r="D257" t="str">
        <f>""</f>
        <v/>
      </c>
      <c r="E257" t="str">
        <f>"49433.131"</f>
        <v>49433.131</v>
      </c>
      <c r="F257" t="str">
        <f>""</f>
        <v/>
      </c>
      <c r="G257" t="str">
        <f>"0.002"</f>
        <v>0.002</v>
      </c>
      <c r="H257" t="str">
        <f>"0.677"</f>
        <v>0.677</v>
      </c>
      <c r="I257" t="str">
        <f>"  50             :    21  3d6.(3F2).4s.4p.(3P*) 3F*  "</f>
        <v xml:space="preserve">  50             :    21  3d6.(3F2).4s.4p.(3P*) 3F*  </v>
      </c>
      <c r="J257" t="str">
        <f>""</f>
        <v/>
      </c>
    </row>
    <row r="258" spans="1:10">
      <c r="A258" s="1" t="str">
        <f>"3d6.(3F2).4s.4p.(3P*)"</f>
        <v>3d6.(3F2).4s.4p.(3P*)</v>
      </c>
      <c r="B258" t="str">
        <f>"v 3D*"</f>
        <v>v 3D*</v>
      </c>
      <c r="C258" t="str">
        <f>"3"</f>
        <v>3</v>
      </c>
      <c r="D258" t="str">
        <f>""</f>
        <v/>
      </c>
      <c r="E258" t="str">
        <f>"49135.023"</f>
        <v>49135.023</v>
      </c>
      <c r="F258" t="str">
        <f>""</f>
        <v/>
      </c>
      <c r="G258" t="str">
        <f>"0.001"</f>
        <v>0.001</v>
      </c>
      <c r="H258" t="str">
        <f>"1.211"</f>
        <v>1.211</v>
      </c>
      <c r="I258" t="str">
        <f>"  31  3D*        :    19  3d7.(2G).4p           3F*  "</f>
        <v xml:space="preserve">  31  3D*        :    19  3d7.(2G).4p           3F*  </v>
      </c>
      <c r="J258" t="str">
        <f>""</f>
        <v/>
      </c>
    </row>
    <row r="259" spans="1:10">
      <c r="A259" s="1" t="str">
        <f>"3d6.(3F2).4s.4p.(3P*)"</f>
        <v>3d6.(3F2).4s.4p.(3P*)</v>
      </c>
      <c r="B259" t="str">
        <f>"v 3D*"</f>
        <v>v 3D*</v>
      </c>
      <c r="C259" t="str">
        <f>"2"</f>
        <v>2</v>
      </c>
      <c r="D259" t="str">
        <f>""</f>
        <v/>
      </c>
      <c r="E259" t="str">
        <f>"49242.621"</f>
        <v>49242.621</v>
      </c>
      <c r="F259" t="str">
        <f>""</f>
        <v/>
      </c>
      <c r="G259" t="str">
        <f>"0.001"</f>
        <v>0.001</v>
      </c>
      <c r="H259" t="str">
        <f>"0.954"</f>
        <v>0.954</v>
      </c>
      <c r="I259" t="str">
        <f>"  52             :    12  3d7.(2P).4p           3D*  "</f>
        <v xml:space="preserve">  52             :    12  3d7.(2P).4p           3D*  </v>
      </c>
      <c r="J259" t="str">
        <f>""</f>
        <v/>
      </c>
    </row>
    <row r="260" spans="1:10">
      <c r="A260" s="1" t="str">
        <f>"3d6.(3F2).4s.4p.(3P*)"</f>
        <v>3d6.(3F2).4s.4p.(3P*)</v>
      </c>
      <c r="B260" t="str">
        <f>"v 3D*"</f>
        <v>v 3D*</v>
      </c>
      <c r="C260" t="str">
        <f>"1"</f>
        <v>1</v>
      </c>
      <c r="D260" t="str">
        <f>""</f>
        <v/>
      </c>
      <c r="E260" t="str">
        <f>"49297.635"</f>
        <v>49297.635</v>
      </c>
      <c r="F260" t="str">
        <f>""</f>
        <v/>
      </c>
      <c r="G260" t="str">
        <f>"0.002"</f>
        <v>0.002</v>
      </c>
      <c r="H260" t="str">
        <f>"0.562"</f>
        <v>0.562</v>
      </c>
      <c r="I260" t="str">
        <f>"  47             :    13  3d7.(2P).4p           3D*  "</f>
        <v xml:space="preserve">  47             :    13  3d7.(2P).4p           3D*  </v>
      </c>
      <c r="J260" t="str">
        <f>""</f>
        <v/>
      </c>
    </row>
    <row r="261" spans="1:10">
      <c r="A261" s="1" t="str">
        <f>"3d6.(5D).4s (6D).5p"</f>
        <v>3d6.(5D).4s (6D).5p</v>
      </c>
      <c r="B261" t="str">
        <f>"n 7D*"</f>
        <v>n 7D*</v>
      </c>
      <c r="C261" t="str">
        <f>"5"</f>
        <v>5</v>
      </c>
      <c r="D261" t="str">
        <f>""</f>
        <v/>
      </c>
      <c r="E261" t="str">
        <f>"49352.341"</f>
        <v>49352.341</v>
      </c>
      <c r="F261" t="str">
        <f>""</f>
        <v/>
      </c>
      <c r="G261" t="str">
        <f>"0.001"</f>
        <v>0.001</v>
      </c>
      <c r="H261" t="str">
        <f>""</f>
        <v/>
      </c>
      <c r="I261" t="str">
        <f>"                                                     "</f>
        <v xml:space="preserve">                                                     </v>
      </c>
      <c r="J261" t="str">
        <f>""</f>
        <v/>
      </c>
    </row>
    <row r="262" spans="1:10">
      <c r="A262" s="1" t="str">
        <f>"3d6.(5D).4s (6D).5p"</f>
        <v>3d6.(5D).4s (6D).5p</v>
      </c>
      <c r="B262" t="str">
        <f>"n 7D*"</f>
        <v>n 7D*</v>
      </c>
      <c r="C262" t="str">
        <f>"4"</f>
        <v>4</v>
      </c>
      <c r="D262" t="str">
        <f>""</f>
        <v/>
      </c>
      <c r="E262" t="str">
        <f>"49558.734"</f>
        <v>49558.734</v>
      </c>
      <c r="F262" t="str">
        <f>""</f>
        <v/>
      </c>
      <c r="G262" t="str">
        <f>"0.001"</f>
        <v>0.001</v>
      </c>
      <c r="H262" t="str">
        <f>""</f>
        <v/>
      </c>
      <c r="I262" t="str">
        <f>"                                                     "</f>
        <v xml:space="preserve">                                                     </v>
      </c>
      <c r="J262" t="str">
        <f>""</f>
        <v/>
      </c>
    </row>
    <row r="263" spans="1:10">
      <c r="A263" s="1" t="str">
        <f>"3d6.(5D).4s (6D).5p"</f>
        <v>3d6.(5D).4s (6D).5p</v>
      </c>
      <c r="B263" t="str">
        <f>"n 7D*"</f>
        <v>n 7D*</v>
      </c>
      <c r="C263" t="str">
        <f>"3"</f>
        <v>3</v>
      </c>
      <c r="D263" t="str">
        <f>""</f>
        <v/>
      </c>
      <c r="E263" t="str">
        <f>"49805.257"</f>
        <v>49805.257</v>
      </c>
      <c r="F263" t="str">
        <f>""</f>
        <v/>
      </c>
      <c r="G263" t="str">
        <f>"0.001"</f>
        <v>0.001</v>
      </c>
      <c r="H263" t="str">
        <f>""</f>
        <v/>
      </c>
      <c r="I263" t="str">
        <f>"                                                     "</f>
        <v xml:space="preserve">                                                     </v>
      </c>
      <c r="J263" t="str">
        <f>""</f>
        <v/>
      </c>
    </row>
    <row r="264" spans="1:10">
      <c r="A264" s="1" t="str">
        <f>"3d6.(5D).4s (6D).5p"</f>
        <v>3d6.(5D).4s (6D).5p</v>
      </c>
      <c r="B264" t="str">
        <f>"n 7D*"</f>
        <v>n 7D*</v>
      </c>
      <c r="C264" t="str">
        <f>"2"</f>
        <v>2</v>
      </c>
      <c r="D264" t="str">
        <f>""</f>
        <v/>
      </c>
      <c r="E264" t="str">
        <f>"50008.522"</f>
        <v>50008.522</v>
      </c>
      <c r="F264" t="str">
        <f>""</f>
        <v/>
      </c>
      <c r="G264" t="str">
        <f>"0.001"</f>
        <v>0.001</v>
      </c>
      <c r="H264" t="str">
        <f>""</f>
        <v/>
      </c>
      <c r="I264" t="str">
        <f>"                                                     "</f>
        <v xml:space="preserve">                                                     </v>
      </c>
      <c r="J264" t="str">
        <f>""</f>
        <v/>
      </c>
    </row>
    <row r="265" spans="1:10">
      <c r="A265" s="1" t="str">
        <f>"3d6.(5D).4s (6D).5p"</f>
        <v>3d6.(5D).4s (6D).5p</v>
      </c>
      <c r="B265" t="str">
        <f>"n 7D*"</f>
        <v>n 7D*</v>
      </c>
      <c r="C265" t="str">
        <f>"1"</f>
        <v>1</v>
      </c>
      <c r="D265" t="str">
        <f>""</f>
        <v/>
      </c>
      <c r="E265" t="str">
        <f>"50152.619"</f>
        <v>50152.619</v>
      </c>
      <c r="F265" t="str">
        <f>""</f>
        <v/>
      </c>
      <c r="G265" t="str">
        <f>"0.001"</f>
        <v>0.001</v>
      </c>
      <c r="H265" t="str">
        <f>""</f>
        <v/>
      </c>
      <c r="I265" t="str">
        <f>"                                                     "</f>
        <v xml:space="preserve">                                                     </v>
      </c>
      <c r="J265" t="str">
        <f>""</f>
        <v/>
      </c>
    </row>
    <row r="266" spans="1:10">
      <c r="A266" s="1" t="str">
        <f t="shared" ref="A266:A271" si="23">"3d7.(2G).4p"</f>
        <v>3d7.(2G).4p</v>
      </c>
      <c r="B266" t="str">
        <f>"y 3H*"</f>
        <v>y 3H*</v>
      </c>
      <c r="C266" t="str">
        <f>"6"</f>
        <v>6</v>
      </c>
      <c r="D266" t="str">
        <f>""</f>
        <v/>
      </c>
      <c r="E266" t="str">
        <f>"49434.163"</f>
        <v>49434.163</v>
      </c>
      <c r="F266" t="str">
        <f>""</f>
        <v/>
      </c>
      <c r="G266" t="str">
        <f>"0.002"</f>
        <v>0.002</v>
      </c>
      <c r="H266" t="str">
        <f>"1.17?"</f>
        <v>1.17?</v>
      </c>
      <c r="I266" t="str">
        <f>"  43             :    43  3d6.(3H).4s.4p.(3P*)  3H*  "</f>
        <v xml:space="preserve">  43             :    43  3d6.(3H).4s.4p.(3P*)  3H*  </v>
      </c>
      <c r="J266" t="str">
        <f>""</f>
        <v/>
      </c>
    </row>
    <row r="267" spans="1:10">
      <c r="A267" s="1" t="str">
        <f t="shared" si="23"/>
        <v>3d7.(2G).4p</v>
      </c>
      <c r="B267" t="str">
        <f>"y 3H*"</f>
        <v>y 3H*</v>
      </c>
      <c r="C267" t="str">
        <f>"5"</f>
        <v>5</v>
      </c>
      <c r="D267" t="str">
        <f>""</f>
        <v/>
      </c>
      <c r="E267" t="str">
        <f>"49604.427"</f>
        <v>49604.427</v>
      </c>
      <c r="F267" t="str">
        <f>""</f>
        <v/>
      </c>
      <c r="G267" t="str">
        <f>"0.002"</f>
        <v>0.002</v>
      </c>
      <c r="H267" t="str">
        <f>"1.075"</f>
        <v>1.075</v>
      </c>
      <c r="I267" t="str">
        <f>"  38             :    26  3d6.(3H).4s.4p.(3P*)  3H*  "</f>
        <v xml:space="preserve">  38             :    26  3d6.(3H).4s.4p.(3P*)  3H*  </v>
      </c>
      <c r="J267" t="str">
        <f>""</f>
        <v/>
      </c>
    </row>
    <row r="268" spans="1:10">
      <c r="A268" s="1" t="str">
        <f t="shared" si="23"/>
        <v>3d7.(2G).4p</v>
      </c>
      <c r="B268" t="str">
        <f>"y 3H*"</f>
        <v>y 3H*</v>
      </c>
      <c r="C268" t="str">
        <f>"4"</f>
        <v>4</v>
      </c>
      <c r="D268" t="str">
        <f>""</f>
        <v/>
      </c>
      <c r="E268" t="str">
        <f>"49726.990"</f>
        <v>49726.990</v>
      </c>
      <c r="F268" t="str">
        <f>""</f>
        <v/>
      </c>
      <c r="G268" t="str">
        <f>"0.002"</f>
        <v>0.002</v>
      </c>
      <c r="H268" t="str">
        <f>"0.929"</f>
        <v>0.929</v>
      </c>
      <c r="I268" t="str">
        <f>"  42             :    29  3d6.(3H).4s.4p.(3P*)  3H*  "</f>
        <v xml:space="preserve">  42             :    29  3d6.(3H).4s.4p.(3P*)  3H*  </v>
      </c>
      <c r="J268" t="str">
        <f>""</f>
        <v/>
      </c>
    </row>
    <row r="269" spans="1:10">
      <c r="A269" s="1" t="str">
        <f t="shared" si="23"/>
        <v>3d7.(2G).4p</v>
      </c>
      <c r="B269" t="str">
        <f>"v 3G*"</f>
        <v>v 3G*</v>
      </c>
      <c r="C269" t="str">
        <f>"5"</f>
        <v>5</v>
      </c>
      <c r="D269" t="str">
        <f>""</f>
        <v/>
      </c>
      <c r="E269" t="str">
        <f>"49460.902"</f>
        <v>49460.902</v>
      </c>
      <c r="F269" t="str">
        <f>""</f>
        <v/>
      </c>
      <c r="G269" t="str">
        <f>"0.001"</f>
        <v>0.001</v>
      </c>
      <c r="H269" t="str">
        <f>"1.163"</f>
        <v>1.163</v>
      </c>
      <c r="I269" t="str">
        <f>"  38             :    24  3d6.(3F2).4s.4p.(3P*) 3G*  "</f>
        <v xml:space="preserve">  38             :    24  3d6.(3F2).4s.4p.(3P*) 3G*  </v>
      </c>
      <c r="J269" t="str">
        <f>""</f>
        <v/>
      </c>
    </row>
    <row r="270" spans="1:10">
      <c r="A270" s="1" t="str">
        <f t="shared" si="23"/>
        <v>3d7.(2G).4p</v>
      </c>
      <c r="B270" t="str">
        <f>"v 3G*"</f>
        <v>v 3G*</v>
      </c>
      <c r="C270" t="str">
        <f>"4"</f>
        <v>4</v>
      </c>
      <c r="D270" t="str">
        <f>""</f>
        <v/>
      </c>
      <c r="E270" t="str">
        <f>"49627.884"</f>
        <v>49627.884</v>
      </c>
      <c r="F270" t="str">
        <f>""</f>
        <v/>
      </c>
      <c r="G270" t="str">
        <f>"0.001"</f>
        <v>0.001</v>
      </c>
      <c r="H270" t="str">
        <f>"0.914"</f>
        <v>0.914</v>
      </c>
      <c r="I270" t="str">
        <f>"  41             :    18  3d6.(3H).4s.4p.(3P*)  3G*  "</f>
        <v xml:space="preserve">  41             :    18  3d6.(3H).4s.4p.(3P*)  3G*  </v>
      </c>
      <c r="J270" t="str">
        <f>""</f>
        <v/>
      </c>
    </row>
    <row r="271" spans="1:10">
      <c r="A271" s="1" t="str">
        <f t="shared" si="23"/>
        <v>3d7.(2G).4p</v>
      </c>
      <c r="B271" t="str">
        <f>"v 3G*"</f>
        <v>v 3G*</v>
      </c>
      <c r="C271" t="str">
        <f>"3"</f>
        <v>3</v>
      </c>
      <c r="D271" t="str">
        <f>""</f>
        <v/>
      </c>
      <c r="E271" t="str">
        <f>"49850.590"</f>
        <v>49850.590</v>
      </c>
      <c r="F271" t="str">
        <f>""</f>
        <v/>
      </c>
      <c r="G271" t="str">
        <f>"0.001"</f>
        <v>0.001</v>
      </c>
      <c r="H271" t="str">
        <f>"0.763"</f>
        <v>0.763</v>
      </c>
      <c r="I271" t="str">
        <f>"  43             :    25  3d6.(3F2).4s.4p.(3P*) 3G*  "</f>
        <v xml:space="preserve">  43             :    25  3d6.(3F2).4s.4p.(3P*) 3G*  </v>
      </c>
      <c r="J271" t="str">
        <f>""</f>
        <v/>
      </c>
    </row>
    <row r="272" spans="1:10">
      <c r="A272" s="1" t="str">
        <f>"3d6.(3F2).4s.4p.(3P*)"</f>
        <v>3d6.(3F2).4s.4p.(3P*)</v>
      </c>
      <c r="B272" t="str">
        <f>"1F*"</f>
        <v>1F*</v>
      </c>
      <c r="C272" t="str">
        <f>"3"</f>
        <v>3</v>
      </c>
      <c r="D272" t="str">
        <f>""</f>
        <v/>
      </c>
      <c r="E272" t="str">
        <f>"49477.127"</f>
        <v>49477.127</v>
      </c>
      <c r="F272" t="str">
        <f>""</f>
        <v/>
      </c>
      <c r="G272" t="str">
        <f>"0.001"</f>
        <v>0.001</v>
      </c>
      <c r="H272" t="str">
        <f>"0.92?"</f>
        <v>0.92?</v>
      </c>
      <c r="I272" t="str">
        <f>"  40             :    39  3d7.(2G).4p           1F*  "</f>
        <v xml:space="preserve">  40             :    39  3d7.(2G).4p           1F*  </v>
      </c>
      <c r="J272" t="str">
        <f>""</f>
        <v/>
      </c>
    </row>
    <row r="273" spans="1:10">
      <c r="A273" s="1" t="str">
        <f t="shared" ref="A273:A279" si="24">"3d6.(5D).4s (6D).5p"</f>
        <v>3d6.(5D).4s (6D).5p</v>
      </c>
      <c r="B273" t="str">
        <f t="shared" ref="B273:B279" si="25">"n 7F*"</f>
        <v>n 7F*</v>
      </c>
      <c r="C273" t="str">
        <f>"6"</f>
        <v>6</v>
      </c>
      <c r="D273" t="str">
        <f>""</f>
        <v/>
      </c>
      <c r="E273" t="str">
        <f>"49758.142"</f>
        <v>49758.142</v>
      </c>
      <c r="F273" t="str">
        <f>""</f>
        <v/>
      </c>
      <c r="G273" t="str">
        <f>"0.002"</f>
        <v>0.002</v>
      </c>
      <c r="H273" t="str">
        <f>""</f>
        <v/>
      </c>
      <c r="I273" t="str">
        <f t="shared" ref="I273:I279" si="26">"                                                     "</f>
        <v xml:space="preserve">                                                     </v>
      </c>
      <c r="J273" t="str">
        <f>""</f>
        <v/>
      </c>
    </row>
    <row r="274" spans="1:10">
      <c r="A274" s="1" t="str">
        <f t="shared" si="24"/>
        <v>3d6.(5D).4s (6D).5p</v>
      </c>
      <c r="B274" t="str">
        <f t="shared" si="25"/>
        <v>n 7F*</v>
      </c>
      <c r="C274" t="str">
        <f>"5"</f>
        <v>5</v>
      </c>
      <c r="D274" t="str">
        <f>""</f>
        <v/>
      </c>
      <c r="E274" t="str">
        <f>"50052.194"</f>
        <v>50052.194</v>
      </c>
      <c r="F274" t="str">
        <f>""</f>
        <v/>
      </c>
      <c r="G274" t="str">
        <f>"0.001"</f>
        <v>0.001</v>
      </c>
      <c r="H274" t="str">
        <f>""</f>
        <v/>
      </c>
      <c r="I274" t="str">
        <f t="shared" si="26"/>
        <v xml:space="preserve">                                                     </v>
      </c>
      <c r="J274" t="str">
        <f>""</f>
        <v/>
      </c>
    </row>
    <row r="275" spans="1:10">
      <c r="A275" s="1" t="str">
        <f t="shared" si="24"/>
        <v>3d6.(5D).4s (6D).5p</v>
      </c>
      <c r="B275" t="str">
        <f t="shared" si="25"/>
        <v>n 7F*</v>
      </c>
      <c r="C275" t="str">
        <f>"4"</f>
        <v>4</v>
      </c>
      <c r="D275" t="str">
        <f>""</f>
        <v/>
      </c>
      <c r="E275" t="str">
        <f>"50303.225"</f>
        <v>50303.225</v>
      </c>
      <c r="F275" t="str">
        <f>""</f>
        <v/>
      </c>
      <c r="G275" t="str">
        <f>"0.001"</f>
        <v>0.001</v>
      </c>
      <c r="H275" t="str">
        <f>""</f>
        <v/>
      </c>
      <c r="I275" t="str">
        <f t="shared" si="26"/>
        <v xml:space="preserve">                                                     </v>
      </c>
      <c r="J275" t="str">
        <f>""</f>
        <v/>
      </c>
    </row>
    <row r="276" spans="1:10">
      <c r="A276" s="1" t="str">
        <f t="shared" si="24"/>
        <v>3d6.(5D).4s (6D).5p</v>
      </c>
      <c r="B276" t="str">
        <f t="shared" si="25"/>
        <v>n 7F*</v>
      </c>
      <c r="C276" t="str">
        <f>"3"</f>
        <v>3</v>
      </c>
      <c r="D276" t="str">
        <f>""</f>
        <v/>
      </c>
      <c r="E276" t="str">
        <f>"50433.025"</f>
        <v>50433.025</v>
      </c>
      <c r="F276" t="str">
        <f>""</f>
        <v/>
      </c>
      <c r="G276" t="str">
        <f>"0.001"</f>
        <v>0.001</v>
      </c>
      <c r="H276" t="str">
        <f>""</f>
        <v/>
      </c>
      <c r="I276" t="str">
        <f t="shared" si="26"/>
        <v xml:space="preserve">                                                     </v>
      </c>
      <c r="J276" t="str">
        <f>""</f>
        <v/>
      </c>
    </row>
    <row r="277" spans="1:10">
      <c r="A277" s="1" t="str">
        <f t="shared" si="24"/>
        <v>3d6.(5D).4s (6D).5p</v>
      </c>
      <c r="B277" t="str">
        <f t="shared" si="25"/>
        <v>n 7F*</v>
      </c>
      <c r="C277" t="str">
        <f>"2"</f>
        <v>2</v>
      </c>
      <c r="D277" t="str">
        <f>""</f>
        <v/>
      </c>
      <c r="E277" t="str">
        <f>"50555.762"</f>
        <v>50555.762</v>
      </c>
      <c r="F277" t="str">
        <f>""</f>
        <v/>
      </c>
      <c r="G277" t="str">
        <f>"0.001"</f>
        <v>0.001</v>
      </c>
      <c r="H277" t="str">
        <f>""</f>
        <v/>
      </c>
      <c r="I277" t="str">
        <f t="shared" si="26"/>
        <v xml:space="preserve">                                                     </v>
      </c>
      <c r="J277" t="str">
        <f>""</f>
        <v/>
      </c>
    </row>
    <row r="278" spans="1:10">
      <c r="A278" s="1" t="str">
        <f t="shared" si="24"/>
        <v>3d6.(5D).4s (6D).5p</v>
      </c>
      <c r="B278" t="str">
        <f t="shared" si="25"/>
        <v>n 7F*</v>
      </c>
      <c r="C278" t="str">
        <f>"1"</f>
        <v>1</v>
      </c>
      <c r="D278" t="str">
        <f>""</f>
        <v/>
      </c>
      <c r="E278" t="str">
        <f>"50627.436"</f>
        <v>50627.436</v>
      </c>
      <c r="F278" t="str">
        <f>""</f>
        <v/>
      </c>
      <c r="G278" t="str">
        <f>"0.002"</f>
        <v>0.002</v>
      </c>
      <c r="H278" t="str">
        <f>""</f>
        <v/>
      </c>
      <c r="I278" t="str">
        <f t="shared" si="26"/>
        <v xml:space="preserve">                                                     </v>
      </c>
      <c r="J278" t="str">
        <f>""</f>
        <v/>
      </c>
    </row>
    <row r="279" spans="1:10">
      <c r="A279" s="1" t="str">
        <f t="shared" si="24"/>
        <v>3d6.(5D).4s (6D).5p</v>
      </c>
      <c r="B279" t="str">
        <f t="shared" si="25"/>
        <v>n 7F*</v>
      </c>
      <c r="C279" t="str">
        <f>"0"</f>
        <v>0</v>
      </c>
      <c r="D279" t="str">
        <f>""</f>
        <v/>
      </c>
      <c r="E279" t="str">
        <f>"50659.683"</f>
        <v>50659.683</v>
      </c>
      <c r="F279" t="str">
        <f>""</f>
        <v/>
      </c>
      <c r="G279" t="str">
        <f>"0.002"</f>
        <v>0.002</v>
      </c>
      <c r="H279" t="str">
        <f>""</f>
        <v/>
      </c>
      <c r="I279" t="str">
        <f t="shared" si="26"/>
        <v xml:space="preserve">                                                     </v>
      </c>
      <c r="J279" t="str">
        <f>""</f>
        <v/>
      </c>
    </row>
    <row r="280" spans="1:10">
      <c r="A280" s="1" t="str">
        <f>"3d7.(2P).4p"</f>
        <v>3d7.(2P).4p</v>
      </c>
      <c r="B280" t="str">
        <f>"w 3P*"</f>
        <v>w 3P*</v>
      </c>
      <c r="C280" t="str">
        <f>"0"</f>
        <v>0</v>
      </c>
      <c r="D280" t="str">
        <f>""</f>
        <v/>
      </c>
      <c r="E280" t="str">
        <f>"49951.344"</f>
        <v>49951.344</v>
      </c>
      <c r="F280" t="str">
        <f>""</f>
        <v/>
      </c>
      <c r="G280" t="str">
        <f>"0.002"</f>
        <v>0.002</v>
      </c>
      <c r="H280" t="str">
        <f>""</f>
        <v/>
      </c>
      <c r="I280" t="str">
        <f>"  52             :    24  3d6.(3P2).4s.4p.(1P*) 3P*  "</f>
        <v xml:space="preserve">  52             :    24  3d6.(3P2).4s.4p.(1P*) 3P*  </v>
      </c>
      <c r="J280" t="str">
        <f>""</f>
        <v/>
      </c>
    </row>
    <row r="281" spans="1:10">
      <c r="A281" s="1" t="str">
        <f>"3d7.(2P).4p"</f>
        <v>3d7.(2P).4p</v>
      </c>
      <c r="B281" t="str">
        <f>"w 3P*"</f>
        <v>w 3P*</v>
      </c>
      <c r="C281" t="str">
        <f>"1"</f>
        <v>1</v>
      </c>
      <c r="D281" t="str">
        <f>""</f>
        <v/>
      </c>
      <c r="E281" t="str">
        <f>"50043.213"</f>
        <v>50043.213</v>
      </c>
      <c r="F281" t="str">
        <f>""</f>
        <v/>
      </c>
      <c r="G281" t="str">
        <f t="shared" ref="G281:G300" si="27">"0.001"</f>
        <v>0.001</v>
      </c>
      <c r="H281" t="str">
        <f>"1.389"</f>
        <v>1.389</v>
      </c>
      <c r="I281" t="str">
        <f>"  50             :    11  3d5.(6S).4s2.4p       5P*  "</f>
        <v xml:space="preserve">  50             :    11  3d5.(6S).4s2.4p       5P*  </v>
      </c>
      <c r="J281" t="str">
        <f>""</f>
        <v/>
      </c>
    </row>
    <row r="282" spans="1:10">
      <c r="A282" s="1" t="str">
        <f>"3d7.(2P).4p"</f>
        <v>3d7.(2P).4p</v>
      </c>
      <c r="B282" t="str">
        <f>"w 3P*"</f>
        <v>w 3P*</v>
      </c>
      <c r="C282" t="str">
        <f>"2"</f>
        <v>2</v>
      </c>
      <c r="D282" t="str">
        <f>""</f>
        <v/>
      </c>
      <c r="E282" t="str">
        <f>"50186.834"</f>
        <v>50186.834</v>
      </c>
      <c r="F282" t="str">
        <f>""</f>
        <v/>
      </c>
      <c r="G282" t="str">
        <f t="shared" si="27"/>
        <v>0.001</v>
      </c>
      <c r="H282" t="str">
        <f>"1.469"</f>
        <v>1.469</v>
      </c>
      <c r="I282" t="str">
        <f>"  46             :    10  3d7.(4P).4p           5P*  "</f>
        <v xml:space="preserve">  46             :    10  3d7.(4P).4p           5P*  </v>
      </c>
      <c r="J282" t="str">
        <f>""</f>
        <v/>
      </c>
    </row>
    <row r="283" spans="1:10">
      <c r="A283" s="1" t="str">
        <f>"3d6.(5D).4s (6D).5p"</f>
        <v>3d6.(5D).4s (6D).5p</v>
      </c>
      <c r="B283" t="str">
        <f>"n 7P*"</f>
        <v>n 7P*</v>
      </c>
      <c r="C283" t="str">
        <f>"4"</f>
        <v>4</v>
      </c>
      <c r="D283" t="str">
        <f>""</f>
        <v/>
      </c>
      <c r="E283" t="str">
        <f>"50185.743"</f>
        <v>50185.743</v>
      </c>
      <c r="F283" t="str">
        <f>""</f>
        <v/>
      </c>
      <c r="G283" t="str">
        <f t="shared" si="27"/>
        <v>0.001</v>
      </c>
      <c r="H283" t="str">
        <f>""</f>
        <v/>
      </c>
      <c r="I283" t="str">
        <f t="shared" ref="I283:I309" si="28">"                                                     "</f>
        <v xml:space="preserve">                                                     </v>
      </c>
      <c r="J283" t="str">
        <f>""</f>
        <v/>
      </c>
    </row>
    <row r="284" spans="1:10">
      <c r="A284" s="1" t="str">
        <f>"3d6.(5D).4s (6D).5p"</f>
        <v>3d6.(5D).4s (6D).5p</v>
      </c>
      <c r="B284" t="str">
        <f>"n 7P*"</f>
        <v>n 7P*</v>
      </c>
      <c r="C284" t="str">
        <f>"3"</f>
        <v>3</v>
      </c>
      <c r="D284" t="str">
        <f>""</f>
        <v/>
      </c>
      <c r="E284" t="str">
        <f>"50628.372"</f>
        <v>50628.372</v>
      </c>
      <c r="F284" t="str">
        <f>""</f>
        <v/>
      </c>
      <c r="G284" t="str">
        <f t="shared" si="27"/>
        <v>0.001</v>
      </c>
      <c r="H284" t="str">
        <f>""</f>
        <v/>
      </c>
      <c r="I284" t="str">
        <f t="shared" si="28"/>
        <v xml:space="preserve">                                                     </v>
      </c>
      <c r="J284" t="str">
        <f>""</f>
        <v/>
      </c>
    </row>
    <row r="285" spans="1:10">
      <c r="A285" s="1" t="str">
        <f>"3d6.(5D).4s (6D).5p"</f>
        <v>3d6.(5D).4s (6D).5p</v>
      </c>
      <c r="B285" t="str">
        <f>"n 7P*"</f>
        <v>n 7P*</v>
      </c>
      <c r="C285" t="str">
        <f>"2"</f>
        <v>2</v>
      </c>
      <c r="D285" t="str">
        <f>""</f>
        <v/>
      </c>
      <c r="E285" t="str">
        <f>"50901.172"</f>
        <v>50901.172</v>
      </c>
      <c r="F285" t="str">
        <f>""</f>
        <v/>
      </c>
      <c r="G285" t="str">
        <f t="shared" si="27"/>
        <v>0.001</v>
      </c>
      <c r="H285" t="str">
        <f>""</f>
        <v/>
      </c>
      <c r="I285" t="str">
        <f t="shared" si="28"/>
        <v xml:space="preserve">                                                     </v>
      </c>
      <c r="J285" t="str">
        <f>""</f>
        <v/>
      </c>
    </row>
    <row r="286" spans="1:10">
      <c r="A286" s="1" t="str">
        <f t="shared" ref="A286:A309" si="29">"3d6.(5D).4s (6D).4d"</f>
        <v>3d6.(5D).4s (6D).4d</v>
      </c>
      <c r="B286" t="str">
        <f t="shared" ref="B286:B291" si="30">"e 7F"</f>
        <v>e 7F</v>
      </c>
      <c r="C286" t="str">
        <f>"6"</f>
        <v>6</v>
      </c>
      <c r="D286" t="str">
        <f>""</f>
        <v/>
      </c>
      <c r="E286" t="str">
        <f>"50342.129"</f>
        <v>50342.129</v>
      </c>
      <c r="F286" t="str">
        <f>""</f>
        <v/>
      </c>
      <c r="G286" t="str">
        <f t="shared" si="27"/>
        <v>0.001</v>
      </c>
      <c r="H286" t="str">
        <f>"1.490"</f>
        <v>1.490</v>
      </c>
      <c r="I286" t="str">
        <f t="shared" si="28"/>
        <v xml:space="preserve">                                                     </v>
      </c>
      <c r="J286" t="str">
        <f>""</f>
        <v/>
      </c>
    </row>
    <row r="287" spans="1:10">
      <c r="A287" s="1" t="str">
        <f t="shared" si="29"/>
        <v>3d6.(5D).4s (6D).4d</v>
      </c>
      <c r="B287" t="str">
        <f t="shared" si="30"/>
        <v>e 7F</v>
      </c>
      <c r="C287" t="str">
        <f>"5"</f>
        <v>5</v>
      </c>
      <c r="D287" t="str">
        <f>""</f>
        <v/>
      </c>
      <c r="E287" t="str">
        <f>"50833.438"</f>
        <v>50833.438</v>
      </c>
      <c r="F287" t="str">
        <f>""</f>
        <v/>
      </c>
      <c r="G287" t="str">
        <f t="shared" si="27"/>
        <v>0.001</v>
      </c>
      <c r="H287" t="str">
        <f>"1.505"</f>
        <v>1.505</v>
      </c>
      <c r="I287" t="str">
        <f t="shared" si="28"/>
        <v xml:space="preserve">                                                     </v>
      </c>
      <c r="J287" t="str">
        <f>""</f>
        <v/>
      </c>
    </row>
    <row r="288" spans="1:10">
      <c r="A288" s="1" t="str">
        <f t="shared" si="29"/>
        <v>3d6.(5D).4s (6D).4d</v>
      </c>
      <c r="B288" t="str">
        <f t="shared" si="30"/>
        <v>e 7F</v>
      </c>
      <c r="C288" t="str">
        <f>"3"</f>
        <v>3</v>
      </c>
      <c r="D288" t="str">
        <f>""</f>
        <v/>
      </c>
      <c r="E288" t="str">
        <f>"51148.848"</f>
        <v>51148.848</v>
      </c>
      <c r="F288" t="str">
        <f>""</f>
        <v/>
      </c>
      <c r="G288" t="str">
        <f t="shared" si="27"/>
        <v>0.001</v>
      </c>
      <c r="H288" t="str">
        <f>"1.499"</f>
        <v>1.499</v>
      </c>
      <c r="I288" t="str">
        <f t="shared" si="28"/>
        <v xml:space="preserve">                                                     </v>
      </c>
      <c r="J288" t="str">
        <f>""</f>
        <v/>
      </c>
    </row>
    <row r="289" spans="1:10">
      <c r="A289" s="1" t="str">
        <f t="shared" si="29"/>
        <v>3d6.(5D).4s (6D).4d</v>
      </c>
      <c r="B289" t="str">
        <f t="shared" si="30"/>
        <v>e 7F</v>
      </c>
      <c r="C289" t="str">
        <f>"4"</f>
        <v>4</v>
      </c>
      <c r="D289" t="str">
        <f>""</f>
        <v/>
      </c>
      <c r="E289" t="str">
        <f>"51192.273"</f>
        <v>51192.273</v>
      </c>
      <c r="F289" t="str">
        <f>""</f>
        <v/>
      </c>
      <c r="G289" t="str">
        <f t="shared" si="27"/>
        <v>0.001</v>
      </c>
      <c r="H289" t="str">
        <f>"1.617"</f>
        <v>1.617</v>
      </c>
      <c r="I289" t="str">
        <f t="shared" si="28"/>
        <v xml:space="preserve">                                                     </v>
      </c>
      <c r="J289" t="str">
        <f>""</f>
        <v/>
      </c>
    </row>
    <row r="290" spans="1:10">
      <c r="A290" s="1" t="str">
        <f t="shared" si="29"/>
        <v>3d6.(5D).4s (6D).4d</v>
      </c>
      <c r="B290" t="str">
        <f t="shared" si="30"/>
        <v>e 7F</v>
      </c>
      <c r="C290" t="str">
        <f>"1"</f>
        <v>1</v>
      </c>
      <c r="D290" t="str">
        <f>""</f>
        <v/>
      </c>
      <c r="E290" t="str">
        <f>"51207.998"</f>
        <v>51207.998</v>
      </c>
      <c r="F290" t="str">
        <f>""</f>
        <v/>
      </c>
      <c r="G290" t="str">
        <f t="shared" si="27"/>
        <v>0.001</v>
      </c>
      <c r="H290" t="str">
        <f>"2.490"</f>
        <v>2.490</v>
      </c>
      <c r="I290" t="str">
        <f t="shared" si="28"/>
        <v xml:space="preserve">                                                     </v>
      </c>
      <c r="J290" t="str">
        <f>""</f>
        <v/>
      </c>
    </row>
    <row r="291" spans="1:10">
      <c r="A291" s="1" t="str">
        <f t="shared" si="29"/>
        <v>3d6.(5D).4s (6D).4d</v>
      </c>
      <c r="B291" t="str">
        <f t="shared" si="30"/>
        <v>e 7F</v>
      </c>
      <c r="C291" t="str">
        <f>"2"</f>
        <v>2</v>
      </c>
      <c r="D291" t="str">
        <f>""</f>
        <v/>
      </c>
      <c r="E291" t="str">
        <f>"51331.052"</f>
        <v>51331.052</v>
      </c>
      <c r="F291" t="str">
        <f>""</f>
        <v/>
      </c>
      <c r="G291" t="str">
        <f t="shared" si="27"/>
        <v>0.001</v>
      </c>
      <c r="H291" t="str">
        <f>""</f>
        <v/>
      </c>
      <c r="I291" t="str">
        <f t="shared" si="28"/>
        <v xml:space="preserve">                                                     </v>
      </c>
      <c r="J291" t="str">
        <f>""</f>
        <v/>
      </c>
    </row>
    <row r="292" spans="1:10">
      <c r="A292" s="1" t="str">
        <f t="shared" si="29"/>
        <v>3d6.(5D).4s (6D).4d</v>
      </c>
      <c r="B292" t="str">
        <f>"f 7D"</f>
        <v>f 7D</v>
      </c>
      <c r="C292" t="str">
        <f>"5"</f>
        <v>5</v>
      </c>
      <c r="D292" t="str">
        <f>""</f>
        <v/>
      </c>
      <c r="E292" t="str">
        <f>"50377.908"</f>
        <v>50377.908</v>
      </c>
      <c r="F292" t="str">
        <f>""</f>
        <v/>
      </c>
      <c r="G292" t="str">
        <f t="shared" si="27"/>
        <v>0.001</v>
      </c>
      <c r="H292" t="str">
        <f>"1.510"</f>
        <v>1.510</v>
      </c>
      <c r="I292" t="str">
        <f t="shared" si="28"/>
        <v xml:space="preserve">                                                     </v>
      </c>
      <c r="J292" t="str">
        <f>""</f>
        <v/>
      </c>
    </row>
    <row r="293" spans="1:10">
      <c r="A293" s="1" t="str">
        <f t="shared" si="29"/>
        <v>3d6.(5D).4s (6D).4d</v>
      </c>
      <c r="B293" t="str">
        <f>"f 7D"</f>
        <v>f 7D</v>
      </c>
      <c r="C293" t="str">
        <f>"4"</f>
        <v>4</v>
      </c>
      <c r="D293" t="str">
        <f>""</f>
        <v/>
      </c>
      <c r="E293" t="str">
        <f>"50807.997"</f>
        <v>50807.997</v>
      </c>
      <c r="F293" t="str">
        <f>""</f>
        <v/>
      </c>
      <c r="G293" t="str">
        <f t="shared" si="27"/>
        <v>0.001</v>
      </c>
      <c r="H293" t="str">
        <f>"1.574"</f>
        <v>1.574</v>
      </c>
      <c r="I293" t="str">
        <f t="shared" si="28"/>
        <v xml:space="preserve">                                                     </v>
      </c>
      <c r="J293" t="str">
        <f>""</f>
        <v/>
      </c>
    </row>
    <row r="294" spans="1:10">
      <c r="A294" s="1" t="str">
        <f t="shared" si="29"/>
        <v>3d6.(5D).4s (6D).4d</v>
      </c>
      <c r="B294" t="str">
        <f>"f 7D"</f>
        <v>f 7D</v>
      </c>
      <c r="C294" t="str">
        <f>"3"</f>
        <v>3</v>
      </c>
      <c r="D294" t="str">
        <f>""</f>
        <v/>
      </c>
      <c r="E294" t="str">
        <f>"50861.816"</f>
        <v>50861.816</v>
      </c>
      <c r="F294" t="str">
        <f>""</f>
        <v/>
      </c>
      <c r="G294" t="str">
        <f t="shared" si="27"/>
        <v>0.001</v>
      </c>
      <c r="H294" t="str">
        <f>""</f>
        <v/>
      </c>
      <c r="I294" t="str">
        <f t="shared" si="28"/>
        <v xml:space="preserve">                                                     </v>
      </c>
      <c r="J294" t="str">
        <f>""</f>
        <v/>
      </c>
    </row>
    <row r="295" spans="1:10">
      <c r="A295" s="1" t="str">
        <f t="shared" si="29"/>
        <v>3d6.(5D).4s (6D).4d</v>
      </c>
      <c r="B295" t="str">
        <f>"f 7D"</f>
        <v>f 7D</v>
      </c>
      <c r="C295" t="str">
        <f>"2"</f>
        <v>2</v>
      </c>
      <c r="D295" t="str">
        <f>""</f>
        <v/>
      </c>
      <c r="E295" t="str">
        <f>"50998.645"</f>
        <v>50998.645</v>
      </c>
      <c r="F295" t="str">
        <f>""</f>
        <v/>
      </c>
      <c r="G295" t="str">
        <f t="shared" si="27"/>
        <v>0.001</v>
      </c>
      <c r="H295" t="str">
        <f>"1.844"</f>
        <v>1.844</v>
      </c>
      <c r="I295" t="str">
        <f t="shared" si="28"/>
        <v xml:space="preserve">                                                     </v>
      </c>
      <c r="J295" t="str">
        <f>""</f>
        <v/>
      </c>
    </row>
    <row r="296" spans="1:10">
      <c r="A296" s="1" t="str">
        <f t="shared" si="29"/>
        <v>3d6.(5D).4s (6D).4d</v>
      </c>
      <c r="B296" t="str">
        <f>"f 7D"</f>
        <v>f 7D</v>
      </c>
      <c r="C296" t="str">
        <f>"1"</f>
        <v>1</v>
      </c>
      <c r="D296" t="str">
        <f>""</f>
        <v/>
      </c>
      <c r="E296" t="str">
        <f>"51048.107"</f>
        <v>51048.107</v>
      </c>
      <c r="F296" t="str">
        <f>""</f>
        <v/>
      </c>
      <c r="G296" t="str">
        <f t="shared" si="27"/>
        <v>0.001</v>
      </c>
      <c r="H296" t="str">
        <f>""</f>
        <v/>
      </c>
      <c r="I296" t="str">
        <f t="shared" si="28"/>
        <v xml:space="preserve">                                                     </v>
      </c>
      <c r="J296" t="str">
        <f>""</f>
        <v/>
      </c>
    </row>
    <row r="297" spans="1:10">
      <c r="A297" s="1" t="str">
        <f t="shared" si="29"/>
        <v>3d6.(5D).4s (6D).4d</v>
      </c>
      <c r="B297" t="str">
        <f>"f 5D"</f>
        <v>f 5D</v>
      </c>
      <c r="C297" t="str">
        <f>"4"</f>
        <v>4</v>
      </c>
      <c r="D297" t="str">
        <f>""</f>
        <v/>
      </c>
      <c r="E297" t="str">
        <f>"50423.137"</f>
        <v>50423.137</v>
      </c>
      <c r="F297" t="str">
        <f>""</f>
        <v/>
      </c>
      <c r="G297" t="str">
        <f t="shared" si="27"/>
        <v>0.001</v>
      </c>
      <c r="H297" t="str">
        <f>"1.514"</f>
        <v>1.514</v>
      </c>
      <c r="I297" t="str">
        <f t="shared" si="28"/>
        <v xml:space="preserve">                                                     </v>
      </c>
      <c r="J297" t="str">
        <f>""</f>
        <v/>
      </c>
    </row>
    <row r="298" spans="1:10">
      <c r="A298" s="1" t="str">
        <f t="shared" si="29"/>
        <v>3d6.(5D).4s (6D).4d</v>
      </c>
      <c r="B298" t="str">
        <f>"f 5D"</f>
        <v>f 5D</v>
      </c>
      <c r="C298" t="str">
        <f>"3"</f>
        <v>3</v>
      </c>
      <c r="D298" t="str">
        <f>""</f>
        <v/>
      </c>
      <c r="E298" t="str">
        <f>"50534.397"</f>
        <v>50534.397</v>
      </c>
      <c r="F298" t="str">
        <f>""</f>
        <v/>
      </c>
      <c r="G298" t="str">
        <f t="shared" si="27"/>
        <v>0.001</v>
      </c>
      <c r="H298" t="str">
        <f>"1.615"</f>
        <v>1.615</v>
      </c>
      <c r="I298" t="str">
        <f t="shared" si="28"/>
        <v xml:space="preserve">                                                     </v>
      </c>
      <c r="J298" t="str">
        <f>""</f>
        <v/>
      </c>
    </row>
    <row r="299" spans="1:10">
      <c r="A299" s="1" t="str">
        <f t="shared" si="29"/>
        <v>3d6.(5D).4s (6D).4d</v>
      </c>
      <c r="B299" t="str">
        <f>"f 5D"</f>
        <v>f 5D</v>
      </c>
      <c r="C299" t="str">
        <f>"2"</f>
        <v>2</v>
      </c>
      <c r="D299" t="str">
        <f>""</f>
        <v/>
      </c>
      <c r="E299" t="str">
        <f>"50698.620"</f>
        <v>50698.620</v>
      </c>
      <c r="F299" t="str">
        <f>""</f>
        <v/>
      </c>
      <c r="G299" t="str">
        <f t="shared" si="27"/>
        <v>0.001</v>
      </c>
      <c r="H299" t="str">
        <f>"1.614"</f>
        <v>1.614</v>
      </c>
      <c r="I299" t="str">
        <f t="shared" si="28"/>
        <v xml:space="preserve">                                                     </v>
      </c>
      <c r="J299" t="str">
        <f>""</f>
        <v/>
      </c>
    </row>
    <row r="300" spans="1:10">
      <c r="A300" s="1" t="str">
        <f t="shared" si="29"/>
        <v>3d6.(5D).4s (6D).4d</v>
      </c>
      <c r="B300" t="str">
        <f>"f 5D"</f>
        <v>f 5D</v>
      </c>
      <c r="C300" t="str">
        <f>"1"</f>
        <v>1</v>
      </c>
      <c r="D300" t="str">
        <f>""</f>
        <v/>
      </c>
      <c r="E300" t="str">
        <f>"50880.102"</f>
        <v>50880.102</v>
      </c>
      <c r="F300" t="str">
        <f>""</f>
        <v/>
      </c>
      <c r="G300" t="str">
        <f t="shared" si="27"/>
        <v>0.001</v>
      </c>
      <c r="H300" t="str">
        <f>"1.662"</f>
        <v>1.662</v>
      </c>
      <c r="I300" t="str">
        <f t="shared" si="28"/>
        <v xml:space="preserve">                                                     </v>
      </c>
      <c r="J300" t="str">
        <f>""</f>
        <v/>
      </c>
    </row>
    <row r="301" spans="1:10">
      <c r="A301" s="1" t="str">
        <f t="shared" si="29"/>
        <v>3d6.(5D).4s (6D).4d</v>
      </c>
      <c r="B301" t="str">
        <f>"f 5D"</f>
        <v>f 5D</v>
      </c>
      <c r="C301" t="str">
        <f>"0"</f>
        <v>0</v>
      </c>
      <c r="D301" t="str">
        <f>""</f>
        <v/>
      </c>
      <c r="E301" t="str">
        <f>"50981.012"</f>
        <v>50981.012</v>
      </c>
      <c r="F301" t="str">
        <f>""</f>
        <v/>
      </c>
      <c r="G301" t="str">
        <f>"0.002"</f>
        <v>0.002</v>
      </c>
      <c r="H301" t="str">
        <f>""</f>
        <v/>
      </c>
      <c r="I301" t="str">
        <f t="shared" si="28"/>
        <v xml:space="preserve">                                                     </v>
      </c>
      <c r="J301" t="str">
        <f>""</f>
        <v/>
      </c>
    </row>
    <row r="302" spans="1:10">
      <c r="A302" s="1" t="str">
        <f t="shared" si="29"/>
        <v>3d6.(5D).4s (6D).4d</v>
      </c>
      <c r="B302" t="str">
        <f>"e 7P"</f>
        <v>e 7P</v>
      </c>
      <c r="C302" t="str">
        <f>"4"</f>
        <v>4</v>
      </c>
      <c r="D302" t="str">
        <f>""</f>
        <v/>
      </c>
      <c r="E302" t="str">
        <f>"50475.288"</f>
        <v>50475.288</v>
      </c>
      <c r="F302" t="str">
        <f>""</f>
        <v/>
      </c>
      <c r="G302" t="str">
        <f t="shared" ref="G302:G309" si="31">"0.001"</f>
        <v>0.001</v>
      </c>
      <c r="H302" t="str">
        <f>"1.585"</f>
        <v>1.585</v>
      </c>
      <c r="I302" t="str">
        <f t="shared" si="28"/>
        <v xml:space="preserve">                                                     </v>
      </c>
      <c r="J302" t="str">
        <f>""</f>
        <v/>
      </c>
    </row>
    <row r="303" spans="1:10">
      <c r="A303" s="1" t="str">
        <f t="shared" si="29"/>
        <v>3d6.(5D).4s (6D).4d</v>
      </c>
      <c r="B303" t="str">
        <f>"e 7P"</f>
        <v>e 7P</v>
      </c>
      <c r="C303" t="str">
        <f>"3"</f>
        <v>3</v>
      </c>
      <c r="D303" t="str">
        <f>""</f>
        <v/>
      </c>
      <c r="E303" t="str">
        <f>"50611.261"</f>
        <v>50611.261</v>
      </c>
      <c r="F303" t="str">
        <f>""</f>
        <v/>
      </c>
      <c r="G303" t="str">
        <f t="shared" si="31"/>
        <v>0.001</v>
      </c>
      <c r="H303" t="str">
        <f>"1.687"</f>
        <v>1.687</v>
      </c>
      <c r="I303" t="str">
        <f t="shared" si="28"/>
        <v xml:space="preserve">                                                     </v>
      </c>
      <c r="J303" t="str">
        <f>""</f>
        <v/>
      </c>
    </row>
    <row r="304" spans="1:10">
      <c r="A304" s="1" t="str">
        <f t="shared" si="29"/>
        <v>3d6.(5D).4s (6D).4d</v>
      </c>
      <c r="B304" t="str">
        <f>"e 7P"</f>
        <v>e 7P</v>
      </c>
      <c r="C304" t="str">
        <f>"2"</f>
        <v>2</v>
      </c>
      <c r="D304" t="str">
        <f>""</f>
        <v/>
      </c>
      <c r="E304" t="str">
        <f>"50861.327"</f>
        <v>50861.327</v>
      </c>
      <c r="F304" t="str">
        <f>""</f>
        <v/>
      </c>
      <c r="G304" t="str">
        <f t="shared" si="31"/>
        <v>0.001</v>
      </c>
      <c r="H304" t="str">
        <f>""</f>
        <v/>
      </c>
      <c r="I304" t="str">
        <f t="shared" si="28"/>
        <v xml:space="preserve">                                                     </v>
      </c>
      <c r="J304" t="str">
        <f>""</f>
        <v/>
      </c>
    </row>
    <row r="305" spans="1:10">
      <c r="A305" s="1" t="str">
        <f t="shared" si="29"/>
        <v>3d6.(5D).4s (6D).4d</v>
      </c>
      <c r="B305" t="str">
        <f>"e 5G"</f>
        <v>e 5G</v>
      </c>
      <c r="C305" t="str">
        <f>"6"</f>
        <v>6</v>
      </c>
      <c r="D305" t="str">
        <f>""</f>
        <v/>
      </c>
      <c r="E305" t="str">
        <f>"50522.944"</f>
        <v>50522.944</v>
      </c>
      <c r="F305" t="str">
        <f>""</f>
        <v/>
      </c>
      <c r="G305" t="str">
        <f t="shared" si="31"/>
        <v>0.001</v>
      </c>
      <c r="H305" t="str">
        <f>"1.351"</f>
        <v>1.351</v>
      </c>
      <c r="I305" t="str">
        <f t="shared" si="28"/>
        <v xml:space="preserve">                                                     </v>
      </c>
      <c r="J305" t="str">
        <f>""</f>
        <v/>
      </c>
    </row>
    <row r="306" spans="1:10">
      <c r="A306" s="1" t="str">
        <f t="shared" si="29"/>
        <v>3d6.(5D).4s (6D).4d</v>
      </c>
      <c r="B306" t="str">
        <f>"e 5G"</f>
        <v>e 5G</v>
      </c>
      <c r="C306" t="str">
        <f>"5"</f>
        <v>5</v>
      </c>
      <c r="D306" t="str">
        <f>""</f>
        <v/>
      </c>
      <c r="E306" t="str">
        <f>"50703.870"</f>
        <v>50703.870</v>
      </c>
      <c r="F306" t="str">
        <f>""</f>
        <v/>
      </c>
      <c r="G306" t="str">
        <f t="shared" si="31"/>
        <v>0.001</v>
      </c>
      <c r="H306" t="str">
        <f>"1.360"</f>
        <v>1.360</v>
      </c>
      <c r="I306" t="str">
        <f t="shared" si="28"/>
        <v xml:space="preserve">                                                     </v>
      </c>
      <c r="J306" t="str">
        <f>""</f>
        <v/>
      </c>
    </row>
    <row r="307" spans="1:10">
      <c r="A307" s="1" t="str">
        <f t="shared" si="29"/>
        <v>3d6.(5D).4s (6D).4d</v>
      </c>
      <c r="B307" t="str">
        <f>"e 5G"</f>
        <v>e 5G</v>
      </c>
      <c r="C307" t="str">
        <f>"4"</f>
        <v>4</v>
      </c>
      <c r="D307" t="str">
        <f>""</f>
        <v/>
      </c>
      <c r="E307" t="str">
        <f>"50979.579"</f>
        <v>50979.579</v>
      </c>
      <c r="F307" t="str">
        <f>""</f>
        <v/>
      </c>
      <c r="G307" t="str">
        <f t="shared" si="31"/>
        <v>0.001</v>
      </c>
      <c r="H307" t="str">
        <f>"1.238"</f>
        <v>1.238</v>
      </c>
      <c r="I307" t="str">
        <f t="shared" si="28"/>
        <v xml:space="preserve">                                                     </v>
      </c>
      <c r="J307" t="str">
        <f>""</f>
        <v/>
      </c>
    </row>
    <row r="308" spans="1:10">
      <c r="A308" s="1" t="str">
        <f t="shared" si="29"/>
        <v>3d6.(5D).4s (6D).4d</v>
      </c>
      <c r="B308" t="str">
        <f>"e 5G"</f>
        <v>e 5G</v>
      </c>
      <c r="C308" t="str">
        <f>"3"</f>
        <v>3</v>
      </c>
      <c r="D308" t="str">
        <f>""</f>
        <v/>
      </c>
      <c r="E308" t="str">
        <f>"51219.015"</f>
        <v>51219.015</v>
      </c>
      <c r="F308" t="str">
        <f>""</f>
        <v/>
      </c>
      <c r="G308" t="str">
        <f t="shared" si="31"/>
        <v>0.001</v>
      </c>
      <c r="H308" t="str">
        <f>"1.294"</f>
        <v>1.294</v>
      </c>
      <c r="I308" t="str">
        <f t="shared" si="28"/>
        <v xml:space="preserve">                                                     </v>
      </c>
      <c r="J308" t="str">
        <f>""</f>
        <v/>
      </c>
    </row>
    <row r="309" spans="1:10">
      <c r="A309" s="1" t="str">
        <f t="shared" si="29"/>
        <v>3d6.(5D).4s (6D).4d</v>
      </c>
      <c r="B309" t="str">
        <f>"e 5G"</f>
        <v>e 5G</v>
      </c>
      <c r="C309" t="str">
        <f>"2"</f>
        <v>2</v>
      </c>
      <c r="D309" t="str">
        <f>""</f>
        <v/>
      </c>
      <c r="E309" t="str">
        <f>"51370.145"</f>
        <v>51370.145</v>
      </c>
      <c r="F309" t="str">
        <f>""</f>
        <v/>
      </c>
      <c r="G309" t="str">
        <f t="shared" si="31"/>
        <v>0.001</v>
      </c>
      <c r="H309" t="str">
        <f>"0.953"</f>
        <v>0.953</v>
      </c>
      <c r="I309" t="str">
        <f t="shared" si="28"/>
        <v xml:space="preserve">                                                     </v>
      </c>
      <c r="J309" t="str">
        <f>""</f>
        <v/>
      </c>
    </row>
    <row r="310" spans="1:10">
      <c r="A310" s="1" t="str">
        <f>"3d7.(2G).4p"</f>
        <v>3d7.(2G).4p</v>
      </c>
      <c r="B310" t="str">
        <f>"z 1F*"</f>
        <v>z 1F*</v>
      </c>
      <c r="C310" t="str">
        <f>"3"</f>
        <v>3</v>
      </c>
      <c r="D310" t="str">
        <f>""</f>
        <v/>
      </c>
      <c r="E310" t="str">
        <f>"50586.878"</f>
        <v>50586.878</v>
      </c>
      <c r="F310" t="str">
        <f>""</f>
        <v/>
      </c>
      <c r="G310" t="str">
        <f>"0.002"</f>
        <v>0.002</v>
      </c>
      <c r="H310" t="str">
        <f>"1.018"</f>
        <v>1.018</v>
      </c>
      <c r="I310" t="str">
        <f>"  36             :    23  3d7.(2D2).4p          1F*  "</f>
        <v xml:space="preserve">  36             :    23  3d7.(2D2).4p          1F*  </v>
      </c>
      <c r="J310" t="str">
        <f>""</f>
        <v/>
      </c>
    </row>
    <row r="311" spans="1:10">
      <c r="A311" s="1" t="str">
        <f>"3d6.(3F2).4s.4p.(3P*)"</f>
        <v>3d6.(3F2).4s.4p.(3P*)</v>
      </c>
      <c r="B311" t="str">
        <f>"x 1G*"</f>
        <v>x 1G*</v>
      </c>
      <c r="C311" t="str">
        <f>"4"</f>
        <v>4</v>
      </c>
      <c r="D311" t="str">
        <f>""</f>
        <v/>
      </c>
      <c r="E311" t="str">
        <f>"50613.983"</f>
        <v>50613.983</v>
      </c>
      <c r="F311" t="str">
        <f>""</f>
        <v/>
      </c>
      <c r="G311" t="str">
        <f>"0.002"</f>
        <v>0.002</v>
      </c>
      <c r="H311" t="str">
        <f>"0.978"</f>
        <v>0.978</v>
      </c>
      <c r="I311" t="str">
        <f>"  64             :     9  3d7.(2H).4p           1G*  "</f>
        <v xml:space="preserve">  64             :     9  3d7.(2H).4p           1G*  </v>
      </c>
      <c r="J311" t="str">
        <f>""</f>
        <v/>
      </c>
    </row>
    <row r="312" spans="1:10">
      <c r="A312" s="1" t="str">
        <f t="shared" ref="A312:A318" si="32">"3d6.(5D).4s (6D).4d"</f>
        <v>3d6.(5D).4s (6D).4d</v>
      </c>
      <c r="B312" t="str">
        <f t="shared" ref="B312:B318" si="33">"e 7G"</f>
        <v>e 7G</v>
      </c>
      <c r="C312" t="str">
        <f>"7"</f>
        <v>7</v>
      </c>
      <c r="D312" t="str">
        <f>""</f>
        <v/>
      </c>
      <c r="E312" t="str">
        <f>"50651.632"</f>
        <v>50651.632</v>
      </c>
      <c r="F312" t="str">
        <f>""</f>
        <v/>
      </c>
      <c r="G312" t="str">
        <f>"0.002"</f>
        <v>0.002</v>
      </c>
      <c r="H312" t="str">
        <f>""</f>
        <v/>
      </c>
      <c r="I312" t="str">
        <f t="shared" ref="I312:I323" si="34">"                                                     "</f>
        <v xml:space="preserve">                                                     </v>
      </c>
      <c r="J312" t="str">
        <f>""</f>
        <v/>
      </c>
    </row>
    <row r="313" spans="1:10">
      <c r="A313" s="1" t="str">
        <f t="shared" si="32"/>
        <v>3d6.(5D).4s (6D).4d</v>
      </c>
      <c r="B313" t="str">
        <f t="shared" si="33"/>
        <v>e 7G</v>
      </c>
      <c r="C313" t="str">
        <f>"6"</f>
        <v>6</v>
      </c>
      <c r="D313" t="str">
        <f>""</f>
        <v/>
      </c>
      <c r="E313" t="str">
        <f>"50967.831"</f>
        <v>50967.831</v>
      </c>
      <c r="F313" t="str">
        <f>""</f>
        <v/>
      </c>
      <c r="G313" t="str">
        <f>"0.001"</f>
        <v>0.001</v>
      </c>
      <c r="H313" t="str">
        <f>"1.415"</f>
        <v>1.415</v>
      </c>
      <c r="I313" t="str">
        <f t="shared" si="34"/>
        <v xml:space="preserve">                                                     </v>
      </c>
      <c r="J313" t="str">
        <f>""</f>
        <v/>
      </c>
    </row>
    <row r="314" spans="1:10">
      <c r="A314" s="1" t="str">
        <f t="shared" si="32"/>
        <v>3d6.(5D).4s (6D).4d</v>
      </c>
      <c r="B314" t="str">
        <f t="shared" si="33"/>
        <v>e 7G</v>
      </c>
      <c r="C314" t="str">
        <f>"5"</f>
        <v>5</v>
      </c>
      <c r="D314" t="str">
        <f>""</f>
        <v/>
      </c>
      <c r="E314" t="str">
        <f>"51228.553"</f>
        <v>51228.553</v>
      </c>
      <c r="F314" t="str">
        <f>""</f>
        <v/>
      </c>
      <c r="G314" t="str">
        <f>"0.001"</f>
        <v>0.001</v>
      </c>
      <c r="H314" t="str">
        <f>"1.379"</f>
        <v>1.379</v>
      </c>
      <c r="I314" t="str">
        <f t="shared" si="34"/>
        <v xml:space="preserve">                                                     </v>
      </c>
      <c r="J314" t="str">
        <f>""</f>
        <v/>
      </c>
    </row>
    <row r="315" spans="1:10">
      <c r="A315" s="1" t="str">
        <f t="shared" si="32"/>
        <v>3d6.(5D).4s (6D).4d</v>
      </c>
      <c r="B315" t="str">
        <f t="shared" si="33"/>
        <v>e 7G</v>
      </c>
      <c r="C315" t="str">
        <f>"4"</f>
        <v>4</v>
      </c>
      <c r="D315" t="str">
        <f>""</f>
        <v/>
      </c>
      <c r="E315" t="str">
        <f>"51334.911"</f>
        <v>51334.911</v>
      </c>
      <c r="F315" t="str">
        <f>""</f>
        <v/>
      </c>
      <c r="G315" t="str">
        <f>"0.001"</f>
        <v>0.001</v>
      </c>
      <c r="H315" t="str">
        <f>"1.338"</f>
        <v>1.338</v>
      </c>
      <c r="I315" t="str">
        <f t="shared" si="34"/>
        <v xml:space="preserve">                                                     </v>
      </c>
      <c r="J315" t="str">
        <f>""</f>
        <v/>
      </c>
    </row>
    <row r="316" spans="1:10">
      <c r="A316" s="1" t="str">
        <f t="shared" si="32"/>
        <v>3d6.(5D).4s (6D).4d</v>
      </c>
      <c r="B316" t="str">
        <f t="shared" si="33"/>
        <v>e 7G</v>
      </c>
      <c r="C316" t="str">
        <f>"3"</f>
        <v>3</v>
      </c>
      <c r="D316" t="str">
        <f>""</f>
        <v/>
      </c>
      <c r="E316" t="str">
        <f>"51460.518"</f>
        <v>51460.518</v>
      </c>
      <c r="F316" t="str">
        <f>""</f>
        <v/>
      </c>
      <c r="G316" t="str">
        <f>"0.001"</f>
        <v>0.001</v>
      </c>
      <c r="H316" t="str">
        <f>"1.244"</f>
        <v>1.244</v>
      </c>
      <c r="I316" t="str">
        <f t="shared" si="34"/>
        <v xml:space="preserve">                                                     </v>
      </c>
      <c r="J316" t="str">
        <f>""</f>
        <v/>
      </c>
    </row>
    <row r="317" spans="1:10">
      <c r="A317" s="1" t="str">
        <f t="shared" si="32"/>
        <v>3d6.(5D).4s (6D).4d</v>
      </c>
      <c r="B317" t="str">
        <f t="shared" si="33"/>
        <v>e 7G</v>
      </c>
      <c r="C317" t="str">
        <f>"2"</f>
        <v>2</v>
      </c>
      <c r="D317" t="str">
        <f>""</f>
        <v/>
      </c>
      <c r="E317" t="str">
        <f>"51539.720"</f>
        <v>51539.720</v>
      </c>
      <c r="F317" t="str">
        <f>""</f>
        <v/>
      </c>
      <c r="G317" t="str">
        <f>"0.001"</f>
        <v>0.001</v>
      </c>
      <c r="H317" t="str">
        <f>""</f>
        <v/>
      </c>
      <c r="I317" t="str">
        <f t="shared" si="34"/>
        <v xml:space="preserve">                                                     </v>
      </c>
      <c r="J317" t="str">
        <f>""</f>
        <v/>
      </c>
    </row>
    <row r="318" spans="1:10">
      <c r="A318" s="1" t="str">
        <f t="shared" si="32"/>
        <v>3d6.(5D).4s (6D).4d</v>
      </c>
      <c r="B318" t="str">
        <f t="shared" si="33"/>
        <v>e 7G</v>
      </c>
      <c r="C318" t="str">
        <f>"1"</f>
        <v>1</v>
      </c>
      <c r="D318" t="str">
        <f>""</f>
        <v/>
      </c>
      <c r="E318" t="str">
        <f>"51566.802"</f>
        <v>51566.802</v>
      </c>
      <c r="F318" t="str">
        <f>""</f>
        <v/>
      </c>
      <c r="G318" t="str">
        <f>"0.002"</f>
        <v>0.002</v>
      </c>
      <c r="H318" t="str">
        <f>"-0.374"</f>
        <v>-0.374</v>
      </c>
      <c r="I318" t="str">
        <f t="shared" si="34"/>
        <v xml:space="preserve">                                                     </v>
      </c>
      <c r="J318" t="str">
        <f>""</f>
        <v/>
      </c>
    </row>
    <row r="319" spans="1:10">
      <c r="A319" s="1" t="str">
        <f>"3d6.(5D).4s (6D).5p"</f>
        <v>3d6.(5D).4s (6D).5p</v>
      </c>
      <c r="B319" t="str">
        <f>"u 5F*"</f>
        <v>u 5F*</v>
      </c>
      <c r="C319" t="str">
        <f>"5"</f>
        <v>5</v>
      </c>
      <c r="D319" t="str">
        <f>""</f>
        <v/>
      </c>
      <c r="E319" t="str">
        <f>"51016.660"</f>
        <v>51016.660</v>
      </c>
      <c r="F319" t="str">
        <f>""</f>
        <v/>
      </c>
      <c r="G319" t="str">
        <f>"0.001"</f>
        <v>0.001</v>
      </c>
      <c r="H319" t="str">
        <f>""</f>
        <v/>
      </c>
      <c r="I319" t="str">
        <f t="shared" si="34"/>
        <v xml:space="preserve">                                                     </v>
      </c>
      <c r="J319" t="str">
        <f>""</f>
        <v/>
      </c>
    </row>
    <row r="320" spans="1:10">
      <c r="A320" s="1" t="str">
        <f>"3d6.(5D).4s (6D).5p"</f>
        <v>3d6.(5D).4s (6D).5p</v>
      </c>
      <c r="B320" t="str">
        <f>"u 5F*"</f>
        <v>u 5F*</v>
      </c>
      <c r="C320" t="str">
        <f>"4"</f>
        <v>4</v>
      </c>
      <c r="D320" t="str">
        <f>""</f>
        <v/>
      </c>
      <c r="E320" t="str">
        <f>"51381.457"</f>
        <v>51381.457</v>
      </c>
      <c r="F320" t="str">
        <f>""</f>
        <v/>
      </c>
      <c r="G320" t="str">
        <f>"0.001"</f>
        <v>0.001</v>
      </c>
      <c r="H320" t="str">
        <f>""</f>
        <v/>
      </c>
      <c r="I320" t="str">
        <f t="shared" si="34"/>
        <v xml:space="preserve">                                                     </v>
      </c>
      <c r="J320" t="str">
        <f>""</f>
        <v/>
      </c>
    </row>
    <row r="321" spans="1:10">
      <c r="A321" s="1" t="str">
        <f>"3d6.(5D).4s (6D).5p"</f>
        <v>3d6.(5D).4s (6D).5p</v>
      </c>
      <c r="B321" t="str">
        <f>"u 5F*"</f>
        <v>u 5F*</v>
      </c>
      <c r="C321" t="str">
        <f>"3"</f>
        <v>3</v>
      </c>
      <c r="D321" t="str">
        <f>""</f>
        <v/>
      </c>
      <c r="E321" t="str">
        <f>"51619.076"</f>
        <v>51619.076</v>
      </c>
      <c r="F321" t="str">
        <f>""</f>
        <v/>
      </c>
      <c r="G321" t="str">
        <f>"0.001"</f>
        <v>0.001</v>
      </c>
      <c r="H321" t="str">
        <f>""</f>
        <v/>
      </c>
      <c r="I321" t="str">
        <f t="shared" si="34"/>
        <v xml:space="preserve">                                                     </v>
      </c>
      <c r="J321" t="str">
        <f>""</f>
        <v/>
      </c>
    </row>
    <row r="322" spans="1:10">
      <c r="A322" s="1" t="str">
        <f>"3d6.(5D).4s (6D).5p"</f>
        <v>3d6.(5D).4s (6D).5p</v>
      </c>
      <c r="B322" t="str">
        <f>"u 5F*"</f>
        <v>u 5F*</v>
      </c>
      <c r="C322" t="str">
        <f>"2"</f>
        <v>2</v>
      </c>
      <c r="D322" t="str">
        <f>""</f>
        <v/>
      </c>
      <c r="E322" t="str">
        <f>"51827.413"</f>
        <v>51827.413</v>
      </c>
      <c r="F322" t="str">
        <f>""</f>
        <v/>
      </c>
      <c r="G322" t="str">
        <f>"0.001"</f>
        <v>0.001</v>
      </c>
      <c r="H322" t="str">
        <f>""</f>
        <v/>
      </c>
      <c r="I322" t="str">
        <f t="shared" si="34"/>
        <v xml:space="preserve">                                                     </v>
      </c>
      <c r="J322" t="str">
        <f>""</f>
        <v/>
      </c>
    </row>
    <row r="323" spans="1:10">
      <c r="A323" s="1" t="str">
        <f>"3d6.(5D).4s (6D).5p"</f>
        <v>3d6.(5D).4s (6D).5p</v>
      </c>
      <c r="B323" t="str">
        <f>"u 5F*"</f>
        <v>u 5F*</v>
      </c>
      <c r="C323" t="str">
        <f>"1"</f>
        <v>1</v>
      </c>
      <c r="D323" t="str">
        <f>""</f>
        <v/>
      </c>
      <c r="E323" t="str">
        <f>"51945.817"</f>
        <v>51945.817</v>
      </c>
      <c r="F323" t="str">
        <f>""</f>
        <v/>
      </c>
      <c r="G323" t="str">
        <f>"0.001"</f>
        <v>0.001</v>
      </c>
      <c r="H323" t="str">
        <f>""</f>
        <v/>
      </c>
      <c r="I323" t="str">
        <f t="shared" si="34"/>
        <v xml:space="preserve">                                                     </v>
      </c>
      <c r="J323" t="str">
        <f>""</f>
        <v/>
      </c>
    </row>
    <row r="324" spans="1:10">
      <c r="A324" s="1" t="str">
        <f>"3d6.(3G).4s.4p.(3P*)"</f>
        <v>3d6.(3G).4s.4p.(3P*)</v>
      </c>
      <c r="B324" t="str">
        <f>"x 3H*"</f>
        <v>x 3H*</v>
      </c>
      <c r="C324" t="str">
        <f>"6"</f>
        <v>6</v>
      </c>
      <c r="D324" t="str">
        <f>""</f>
        <v/>
      </c>
      <c r="E324" t="str">
        <f>"51023.162"</f>
        <v>51023.162</v>
      </c>
      <c r="F324" t="str">
        <f>""</f>
        <v/>
      </c>
      <c r="G324" t="str">
        <f>"0.002"</f>
        <v>0.002</v>
      </c>
      <c r="H324" t="str">
        <f>"1.161"</f>
        <v>1.161</v>
      </c>
      <c r="I324" t="str">
        <f>"  80             :    15  3d6.(3H).4s.4p.(3P*)  3H*  "</f>
        <v xml:space="preserve">  80             :    15  3d6.(3H).4s.4p.(3P*)  3H*  </v>
      </c>
      <c r="J324" t="str">
        <f>""</f>
        <v/>
      </c>
    </row>
    <row r="325" spans="1:10">
      <c r="A325" s="1" t="str">
        <f>"3d6.(3G).4s.4p.(3P*)"</f>
        <v>3d6.(3G).4s.4p.(3P*)</v>
      </c>
      <c r="B325" t="str">
        <f>"x 3H*"</f>
        <v>x 3H*</v>
      </c>
      <c r="C325" t="str">
        <f>"5"</f>
        <v>5</v>
      </c>
      <c r="D325" t="str">
        <f>""</f>
        <v/>
      </c>
      <c r="E325" t="str">
        <f>"51068.718"</f>
        <v>51068.718</v>
      </c>
      <c r="F325" t="str">
        <f>""</f>
        <v/>
      </c>
      <c r="G325" t="str">
        <f>"0.002"</f>
        <v>0.002</v>
      </c>
      <c r="H325" t="str">
        <f>"1.038"</f>
        <v>1.038</v>
      </c>
      <c r="I325" t="str">
        <f>"  74             :    13  3d6.(3H).4s.4p.(3P*)  3H*  "</f>
        <v xml:space="preserve">  74             :    13  3d6.(3H).4s.4p.(3P*)  3H*  </v>
      </c>
      <c r="J325" t="str">
        <f>""</f>
        <v/>
      </c>
    </row>
    <row r="326" spans="1:10">
      <c r="A326" s="1" t="str">
        <f>"3d6.(3G).4s.4p.(3P*)"</f>
        <v>3d6.(3G).4s.4p.(3P*)</v>
      </c>
      <c r="B326" t="str">
        <f>"x 3H*"</f>
        <v>x 3H*</v>
      </c>
      <c r="C326" t="str">
        <f>"4"</f>
        <v>4</v>
      </c>
      <c r="D326" t="str">
        <f>""</f>
        <v/>
      </c>
      <c r="E326" t="str">
        <f>"51409.124"</f>
        <v>51409.124</v>
      </c>
      <c r="F326" t="str">
        <f>""</f>
        <v/>
      </c>
      <c r="G326" t="str">
        <f>"0.002"</f>
        <v>0.002</v>
      </c>
      <c r="H326" t="str">
        <f>"0.953"</f>
        <v>0.953</v>
      </c>
      <c r="I326" t="str">
        <f>"  67             :    15  3d6.(3F2).4s.4p.(3P*) 1G*  "</f>
        <v xml:space="preserve">  67             :    15  3d6.(3F2).4s.4p.(3P*) 1G*  </v>
      </c>
      <c r="J326" t="str">
        <f>""</f>
        <v/>
      </c>
    </row>
    <row r="327" spans="1:10">
      <c r="A327" s="1" t="str">
        <f>"3d6.(5D).4s (6D).5p"</f>
        <v>3d6.(5D).4s (6D).5p</v>
      </c>
      <c r="B327" t="str">
        <f>"t 5D*"</f>
        <v>t 5D*</v>
      </c>
      <c r="C327" t="str">
        <f>"4"</f>
        <v>4</v>
      </c>
      <c r="D327" t="str">
        <f>""</f>
        <v/>
      </c>
      <c r="E327" t="str">
        <f>"51076.628"</f>
        <v>51076.628</v>
      </c>
      <c r="F327" t="str">
        <f>""</f>
        <v/>
      </c>
      <c r="G327" t="str">
        <f t="shared" ref="G327:G337" si="35">"0.001"</f>
        <v>0.001</v>
      </c>
      <c r="H327" t="str">
        <f>"1.486"</f>
        <v>1.486</v>
      </c>
      <c r="I327" t="str">
        <f t="shared" ref="I327:I337" si="36">"                                                     "</f>
        <v xml:space="preserve">                                                     </v>
      </c>
      <c r="J327" t="str">
        <f>""</f>
        <v/>
      </c>
    </row>
    <row r="328" spans="1:10">
      <c r="A328" s="1" t="str">
        <f>"3d6.(5D).4s (6D).5p"</f>
        <v>3d6.(5D).4s (6D).5p</v>
      </c>
      <c r="B328" t="str">
        <f>"t 5D*"</f>
        <v>t 5D*</v>
      </c>
      <c r="C328" t="str">
        <f>"3"</f>
        <v>3</v>
      </c>
      <c r="D328" t="str">
        <f>""</f>
        <v/>
      </c>
      <c r="E328" t="str">
        <f>"51361.391"</f>
        <v>51361.391</v>
      </c>
      <c r="F328" t="str">
        <f>""</f>
        <v/>
      </c>
      <c r="G328" t="str">
        <f t="shared" si="35"/>
        <v>0.001</v>
      </c>
      <c r="H328" t="str">
        <f>""</f>
        <v/>
      </c>
      <c r="I328" t="str">
        <f t="shared" si="36"/>
        <v xml:space="preserve">                                                     </v>
      </c>
      <c r="J328" t="str">
        <f>""</f>
        <v/>
      </c>
    </row>
    <row r="329" spans="1:10">
      <c r="A329" s="1" t="str">
        <f>"3d6.(5D).4s (6D).5p"</f>
        <v>3d6.(5D).4s (6D).5p</v>
      </c>
      <c r="B329" t="str">
        <f>"t 5D*"</f>
        <v>t 5D*</v>
      </c>
      <c r="C329" t="str">
        <f>"2"</f>
        <v>2</v>
      </c>
      <c r="D329" t="str">
        <f>""</f>
        <v/>
      </c>
      <c r="E329" t="str">
        <f>"51630.001"</f>
        <v>51630.001</v>
      </c>
      <c r="F329" t="str">
        <f>""</f>
        <v/>
      </c>
      <c r="G329" t="str">
        <f t="shared" si="35"/>
        <v>0.001</v>
      </c>
      <c r="H329" t="str">
        <f>""</f>
        <v/>
      </c>
      <c r="I329" t="str">
        <f t="shared" si="36"/>
        <v xml:space="preserve">                                                     </v>
      </c>
      <c r="J329" t="str">
        <f>""</f>
        <v/>
      </c>
    </row>
    <row r="330" spans="1:10">
      <c r="A330" s="1" t="str">
        <f>"3d6.(5D).4s (6D).5p"</f>
        <v>3d6.(5D).4s (6D).5p</v>
      </c>
      <c r="B330" t="str">
        <f>"t 5D*"</f>
        <v>t 5D*</v>
      </c>
      <c r="C330" t="str">
        <f>"1"</f>
        <v>1</v>
      </c>
      <c r="D330" t="str">
        <f>""</f>
        <v/>
      </c>
      <c r="E330" t="str">
        <f>"51827.854"</f>
        <v>51827.854</v>
      </c>
      <c r="F330" t="str">
        <f>""</f>
        <v/>
      </c>
      <c r="G330" t="str">
        <f t="shared" si="35"/>
        <v>0.001</v>
      </c>
      <c r="H330" t="str">
        <f>""</f>
        <v/>
      </c>
      <c r="I330" t="str">
        <f t="shared" si="36"/>
        <v xml:space="preserve">                                                     </v>
      </c>
      <c r="J330" t="str">
        <f>""</f>
        <v/>
      </c>
    </row>
    <row r="331" spans="1:10">
      <c r="A331" s="1" t="str">
        <f>"3d6.(5D).4s (6D).5p"</f>
        <v>3d6.(5D).4s (6D).5p</v>
      </c>
      <c r="B331" t="str">
        <f>"t 5D*"</f>
        <v>t 5D*</v>
      </c>
      <c r="C331" t="str">
        <f>"0"</f>
        <v>0</v>
      </c>
      <c r="D331" t="str">
        <f>""</f>
        <v/>
      </c>
      <c r="E331" t="str">
        <f>"51941.540"</f>
        <v>51941.540</v>
      </c>
      <c r="F331" t="str">
        <f>""</f>
        <v/>
      </c>
      <c r="G331" t="str">
        <f t="shared" si="35"/>
        <v>0.001</v>
      </c>
      <c r="H331" t="str">
        <f>""</f>
        <v/>
      </c>
      <c r="I331" t="str">
        <f t="shared" si="36"/>
        <v xml:space="preserve">                                                     </v>
      </c>
      <c r="J331" t="str">
        <f>""</f>
        <v/>
      </c>
    </row>
    <row r="332" spans="1:10">
      <c r="A332" s="1" t="str">
        <f t="shared" ref="A332:A337" si="37">"3d6.(5D).4s (6D).4d"</f>
        <v>3d6.(5D).4s (6D).4d</v>
      </c>
      <c r="B332" t="str">
        <f>"f 5F"</f>
        <v>f 5F</v>
      </c>
      <c r="C332" t="str">
        <f>"5"</f>
        <v>5</v>
      </c>
      <c r="D332" t="str">
        <f>""</f>
        <v/>
      </c>
      <c r="E332" t="str">
        <f>"51103.191"</f>
        <v>51103.191</v>
      </c>
      <c r="F332" t="str">
        <f>""</f>
        <v/>
      </c>
      <c r="G332" t="str">
        <f t="shared" si="35"/>
        <v>0.001</v>
      </c>
      <c r="H332" t="str">
        <f>"1.384"</f>
        <v>1.384</v>
      </c>
      <c r="I332" t="str">
        <f t="shared" si="36"/>
        <v xml:space="preserve">                                                     </v>
      </c>
      <c r="J332" t="str">
        <f>""</f>
        <v/>
      </c>
    </row>
    <row r="333" spans="1:10">
      <c r="A333" s="1" t="str">
        <f t="shared" si="37"/>
        <v>3d6.(5D).4s (6D).4d</v>
      </c>
      <c r="B333" t="str">
        <f>"f 5F"</f>
        <v>f 5F</v>
      </c>
      <c r="C333" t="str">
        <f>"4"</f>
        <v>4</v>
      </c>
      <c r="D333" t="str">
        <f>""</f>
        <v/>
      </c>
      <c r="E333" t="str">
        <f>"51461.670"</f>
        <v>51461.670</v>
      </c>
      <c r="F333" t="str">
        <f>""</f>
        <v/>
      </c>
      <c r="G333" t="str">
        <f t="shared" si="35"/>
        <v>0.001</v>
      </c>
      <c r="H333" t="str">
        <f>"1.355?"</f>
        <v>1.355?</v>
      </c>
      <c r="I333" t="str">
        <f t="shared" si="36"/>
        <v xml:space="preserve">                                                     </v>
      </c>
      <c r="J333" t="str">
        <f>""</f>
        <v/>
      </c>
    </row>
    <row r="334" spans="1:10">
      <c r="A334" s="1" t="str">
        <f t="shared" si="37"/>
        <v>3d6.(5D).4s (6D).4d</v>
      </c>
      <c r="B334" t="str">
        <f>"f 5F"</f>
        <v>f 5F</v>
      </c>
      <c r="C334" t="str">
        <f>"3"</f>
        <v>3</v>
      </c>
      <c r="D334" t="str">
        <f>""</f>
        <v/>
      </c>
      <c r="E334" t="str">
        <f>"51604.103"</f>
        <v>51604.103</v>
      </c>
      <c r="F334" t="str">
        <f>""</f>
        <v/>
      </c>
      <c r="G334" t="str">
        <f t="shared" si="35"/>
        <v>0.001</v>
      </c>
      <c r="H334" t="str">
        <f>""</f>
        <v/>
      </c>
      <c r="I334" t="str">
        <f t="shared" si="36"/>
        <v xml:space="preserve">                                                     </v>
      </c>
      <c r="J334" t="str">
        <f>""</f>
        <v/>
      </c>
    </row>
    <row r="335" spans="1:10">
      <c r="A335" s="1" t="str">
        <f t="shared" si="37"/>
        <v>3d6.(5D).4s (6D).4d</v>
      </c>
      <c r="B335" t="str">
        <f>"f 5F"</f>
        <v>f 5F</v>
      </c>
      <c r="C335" t="str">
        <f>"2"</f>
        <v>2</v>
      </c>
      <c r="D335" t="str">
        <f>""</f>
        <v/>
      </c>
      <c r="E335" t="str">
        <f>"51705.014"</f>
        <v>51705.014</v>
      </c>
      <c r="F335" t="str">
        <f>""</f>
        <v/>
      </c>
      <c r="G335" t="str">
        <f t="shared" si="35"/>
        <v>0.001</v>
      </c>
      <c r="H335" t="str">
        <f>"0.967"</f>
        <v>0.967</v>
      </c>
      <c r="I335" t="str">
        <f t="shared" si="36"/>
        <v xml:space="preserve">                                                     </v>
      </c>
      <c r="J335" t="str">
        <f>""</f>
        <v/>
      </c>
    </row>
    <row r="336" spans="1:10">
      <c r="A336" s="1" t="str">
        <f t="shared" si="37"/>
        <v>3d6.(5D).4s (6D).4d</v>
      </c>
      <c r="B336" t="str">
        <f>"f 5F"</f>
        <v>f 5F</v>
      </c>
      <c r="C336" t="str">
        <f>"1"</f>
        <v>1</v>
      </c>
      <c r="D336" t="str">
        <f>""</f>
        <v/>
      </c>
      <c r="E336" t="str">
        <f>"51754.497"</f>
        <v>51754.497</v>
      </c>
      <c r="F336" t="str">
        <f>""</f>
        <v/>
      </c>
      <c r="G336" t="str">
        <f t="shared" si="35"/>
        <v>0.001</v>
      </c>
      <c r="H336" t="str">
        <f>""</f>
        <v/>
      </c>
      <c r="I336" t="str">
        <f t="shared" si="36"/>
        <v xml:space="preserve">                                                     </v>
      </c>
      <c r="J336" t="str">
        <f>""</f>
        <v/>
      </c>
    </row>
    <row r="337" spans="1:10">
      <c r="A337" s="1" t="str">
        <f t="shared" si="37"/>
        <v>3d6.(5D).4s (6D).4d</v>
      </c>
      <c r="B337" t="str">
        <f>"e 5S"</f>
        <v>e 5S</v>
      </c>
      <c r="C337" t="str">
        <f>"2"</f>
        <v>2</v>
      </c>
      <c r="D337" t="str">
        <f>""</f>
        <v/>
      </c>
      <c r="E337" t="str">
        <f>"51148.910"</f>
        <v>51148.910</v>
      </c>
      <c r="F337" t="str">
        <f>""</f>
        <v/>
      </c>
      <c r="G337" t="str">
        <f t="shared" si="35"/>
        <v>0.001</v>
      </c>
      <c r="H337" t="str">
        <f>"1.952"</f>
        <v>1.952</v>
      </c>
      <c r="I337" t="str">
        <f t="shared" si="36"/>
        <v xml:space="preserve">                                                     </v>
      </c>
      <c r="J337" t="str">
        <f>""</f>
        <v/>
      </c>
    </row>
    <row r="338" spans="1:10">
      <c r="A338" s="1" t="str">
        <f>"3d7.(2D2).4p"</f>
        <v>3d7.(2D2).4p</v>
      </c>
      <c r="B338" t="str">
        <f>"v 3F*"</f>
        <v>v 3F*</v>
      </c>
      <c r="C338" t="str">
        <f>"2"</f>
        <v>2</v>
      </c>
      <c r="D338" t="str">
        <f>""</f>
        <v/>
      </c>
      <c r="E338" t="str">
        <f>"51201.289"</f>
        <v>51201.289</v>
      </c>
      <c r="F338" t="str">
        <f>""</f>
        <v/>
      </c>
      <c r="G338" t="str">
        <f>"0.002"</f>
        <v>0.002</v>
      </c>
      <c r="H338" t="str">
        <f>"0.803"</f>
        <v>0.803</v>
      </c>
      <c r="I338" t="str">
        <f>"  31             :    23  3d6.(3G).4s.4p.(3P*)  3F*  "</f>
        <v xml:space="preserve">  31             :    23  3d6.(3G).4s.4p.(3P*)  3F*  </v>
      </c>
      <c r="J338" t="str">
        <f>""</f>
        <v/>
      </c>
    </row>
    <row r="339" spans="1:10">
      <c r="A339" s="1" t="str">
        <f>"3d7.(2D2).4p"</f>
        <v>3d7.(2D2).4p</v>
      </c>
      <c r="B339" t="str">
        <f>"v 3F*"</f>
        <v>v 3F*</v>
      </c>
      <c r="C339" t="str">
        <f>"4"</f>
        <v>4</v>
      </c>
      <c r="D339" t="str">
        <f>""</f>
        <v/>
      </c>
      <c r="E339" t="str">
        <f>"51304.604"</f>
        <v>51304.604</v>
      </c>
      <c r="F339" t="str">
        <f>""</f>
        <v/>
      </c>
      <c r="G339" t="str">
        <f t="shared" ref="G339:G349" si="38">"0.001"</f>
        <v>0.001</v>
      </c>
      <c r="H339" t="str">
        <f>"1.122"</f>
        <v>1.122</v>
      </c>
      <c r="I339" t="str">
        <f>"  34             :    30  3d7.(2D2).4p          3F*  "</f>
        <v xml:space="preserve">  34             :    30  3d7.(2D2).4p          3F*  </v>
      </c>
      <c r="J339" t="str">
        <f>""</f>
        <v/>
      </c>
    </row>
    <row r="340" spans="1:10">
      <c r="A340" s="1" t="str">
        <f>"3d7.(2D2).4p"</f>
        <v>3d7.(2D2).4p</v>
      </c>
      <c r="B340" t="str">
        <f>"v 3F*"</f>
        <v>v 3F*</v>
      </c>
      <c r="C340" t="str">
        <f>"3"</f>
        <v>3</v>
      </c>
      <c r="D340" t="str">
        <f>""</f>
        <v/>
      </c>
      <c r="E340" t="str">
        <f>"51365.311"</f>
        <v>51365.311</v>
      </c>
      <c r="F340" t="str">
        <f>""</f>
        <v/>
      </c>
      <c r="G340" t="str">
        <f t="shared" si="38"/>
        <v>0.001</v>
      </c>
      <c r="H340" t="str">
        <f>"1.096"</f>
        <v>1.096</v>
      </c>
      <c r="I340" t="str">
        <f>"  36             :    26  3d6.(3G).4s.4p.(3P*)  3F*  "</f>
        <v xml:space="preserve">  36             :    26  3d6.(3G).4s.4p.(3P*)  3F*  </v>
      </c>
      <c r="J340" t="str">
        <f>""</f>
        <v/>
      </c>
    </row>
    <row r="341" spans="1:10">
      <c r="A341" s="1" t="str">
        <f t="shared" ref="A341:A348" si="39">"3d6.(5D).4s (4D).5s"</f>
        <v>3d6.(5D).4s (4D).5s</v>
      </c>
      <c r="B341" t="str">
        <f>"e 3D"</f>
        <v>e 3D</v>
      </c>
      <c r="C341" t="str">
        <f>"3"</f>
        <v>3</v>
      </c>
      <c r="D341" t="str">
        <f>""</f>
        <v/>
      </c>
      <c r="E341" t="str">
        <f>"51294.220"</f>
        <v>51294.220</v>
      </c>
      <c r="F341" t="str">
        <f>""</f>
        <v/>
      </c>
      <c r="G341" t="str">
        <f t="shared" si="38"/>
        <v>0.001</v>
      </c>
      <c r="H341" t="str">
        <f>"1.345"</f>
        <v>1.345</v>
      </c>
      <c r="I341" t="str">
        <f t="shared" ref="I341:I348" si="40">"                                                     "</f>
        <v xml:space="preserve">                                                     </v>
      </c>
      <c r="J341" t="str">
        <f>""</f>
        <v/>
      </c>
    </row>
    <row r="342" spans="1:10">
      <c r="A342" s="1" t="str">
        <f t="shared" si="39"/>
        <v>3d6.(5D).4s (4D).5s</v>
      </c>
      <c r="B342" t="str">
        <f>"e 3D"</f>
        <v>e 3D</v>
      </c>
      <c r="C342" t="str">
        <f>"2"</f>
        <v>2</v>
      </c>
      <c r="D342" t="str">
        <f>""</f>
        <v/>
      </c>
      <c r="E342" t="str">
        <f>"51739.920"</f>
        <v>51739.920</v>
      </c>
      <c r="F342" t="str">
        <f>""</f>
        <v/>
      </c>
      <c r="G342" t="str">
        <f t="shared" si="38"/>
        <v>0.001</v>
      </c>
      <c r="H342" t="str">
        <f>"1.125"</f>
        <v>1.125</v>
      </c>
      <c r="I342" t="str">
        <f t="shared" si="40"/>
        <v xml:space="preserve">                                                     </v>
      </c>
      <c r="J342" t="str">
        <f>""</f>
        <v/>
      </c>
    </row>
    <row r="343" spans="1:10">
      <c r="A343" s="1" t="str">
        <f t="shared" si="39"/>
        <v>3d6.(5D).4s (4D).5s</v>
      </c>
      <c r="B343" t="str">
        <f>"e 3D"</f>
        <v>e 3D</v>
      </c>
      <c r="C343" t="str">
        <f>"1"</f>
        <v>1</v>
      </c>
      <c r="D343" t="str">
        <f>""</f>
        <v/>
      </c>
      <c r="E343" t="str">
        <f>"52039.892"</f>
        <v>52039.892</v>
      </c>
      <c r="F343" t="str">
        <f>""</f>
        <v/>
      </c>
      <c r="G343" t="str">
        <f t="shared" si="38"/>
        <v>0.001</v>
      </c>
      <c r="H343" t="str">
        <f>"0.801"</f>
        <v>0.801</v>
      </c>
      <c r="I343" t="str">
        <f t="shared" si="40"/>
        <v xml:space="preserve">                                                     </v>
      </c>
      <c r="J343" t="str">
        <f>""</f>
        <v/>
      </c>
    </row>
    <row r="344" spans="1:10">
      <c r="A344" s="1" t="str">
        <f t="shared" si="39"/>
        <v>3d6.(5D).4s (4D).5s</v>
      </c>
      <c r="B344" t="str">
        <f>"g 5D"</f>
        <v>g 5D</v>
      </c>
      <c r="C344" t="str">
        <f>"4"</f>
        <v>4</v>
      </c>
      <c r="D344" t="str">
        <f>""</f>
        <v/>
      </c>
      <c r="E344" t="str">
        <f>"51350.492"</f>
        <v>51350.492</v>
      </c>
      <c r="F344" t="str">
        <f>""</f>
        <v/>
      </c>
      <c r="G344" t="str">
        <f t="shared" si="38"/>
        <v>0.001</v>
      </c>
      <c r="H344" t="str">
        <f>"1.487"</f>
        <v>1.487</v>
      </c>
      <c r="I344" t="str">
        <f t="shared" si="40"/>
        <v xml:space="preserve">                                                     </v>
      </c>
      <c r="J344" t="str">
        <f>""</f>
        <v/>
      </c>
    </row>
    <row r="345" spans="1:10">
      <c r="A345" s="1" t="str">
        <f t="shared" si="39"/>
        <v>3d6.(5D).4s (4D).5s</v>
      </c>
      <c r="B345" t="str">
        <f>"g 5D"</f>
        <v>g 5D</v>
      </c>
      <c r="C345" t="str">
        <f>"3"</f>
        <v>3</v>
      </c>
      <c r="D345" t="str">
        <f>""</f>
        <v/>
      </c>
      <c r="E345" t="str">
        <f>"51770.557"</f>
        <v>51770.557</v>
      </c>
      <c r="F345" t="str">
        <f>""</f>
        <v/>
      </c>
      <c r="G345" t="str">
        <f t="shared" si="38"/>
        <v>0.001</v>
      </c>
      <c r="H345" t="str">
        <f>"1.492"</f>
        <v>1.492</v>
      </c>
      <c r="I345" t="str">
        <f t="shared" si="40"/>
        <v xml:space="preserve">                                                     </v>
      </c>
      <c r="J345" t="str">
        <f>""</f>
        <v/>
      </c>
    </row>
    <row r="346" spans="1:10">
      <c r="A346" s="1" t="str">
        <f t="shared" si="39"/>
        <v>3d6.(5D).4s (4D).5s</v>
      </c>
      <c r="B346" t="str">
        <f>"g 5D"</f>
        <v>g 5D</v>
      </c>
      <c r="C346" t="str">
        <f>"2"</f>
        <v>2</v>
      </c>
      <c r="D346" t="str">
        <f>""</f>
        <v/>
      </c>
      <c r="E346" t="str">
        <f>"52049.823"</f>
        <v>52049.823</v>
      </c>
      <c r="F346" t="str">
        <f>""</f>
        <v/>
      </c>
      <c r="G346" t="str">
        <f t="shared" si="38"/>
        <v>0.001</v>
      </c>
      <c r="H346" t="str">
        <f>"1.57?"</f>
        <v>1.57?</v>
      </c>
      <c r="I346" t="str">
        <f t="shared" si="40"/>
        <v xml:space="preserve">                                                     </v>
      </c>
      <c r="J346" t="str">
        <f>""</f>
        <v/>
      </c>
    </row>
    <row r="347" spans="1:10">
      <c r="A347" s="1" t="str">
        <f t="shared" si="39"/>
        <v>3d6.(5D).4s (4D).5s</v>
      </c>
      <c r="B347" t="str">
        <f>"g 5D"</f>
        <v>g 5D</v>
      </c>
      <c r="C347" t="str">
        <f>"1"</f>
        <v>1</v>
      </c>
      <c r="D347" t="str">
        <f>""</f>
        <v/>
      </c>
      <c r="E347" t="str">
        <f>"52214.345"</f>
        <v>52214.345</v>
      </c>
      <c r="F347" t="str">
        <f>""</f>
        <v/>
      </c>
      <c r="G347" t="str">
        <f t="shared" si="38"/>
        <v>0.001</v>
      </c>
      <c r="H347" t="str">
        <f>""</f>
        <v/>
      </c>
      <c r="I347" t="str">
        <f t="shared" si="40"/>
        <v xml:space="preserve">                                                     </v>
      </c>
      <c r="J347" t="str">
        <f>""</f>
        <v/>
      </c>
    </row>
    <row r="348" spans="1:10">
      <c r="A348" s="1" t="str">
        <f t="shared" si="39"/>
        <v>3d6.(5D).4s (4D).5s</v>
      </c>
      <c r="B348" t="str">
        <f>"g 5D"</f>
        <v>g 5D</v>
      </c>
      <c r="C348" t="str">
        <f>"0"</f>
        <v>0</v>
      </c>
      <c r="D348" t="str">
        <f>""</f>
        <v/>
      </c>
      <c r="E348" t="str">
        <f>"52257.346"</f>
        <v>52257.346</v>
      </c>
      <c r="F348" t="str">
        <f>""</f>
        <v/>
      </c>
      <c r="G348" t="str">
        <f t="shared" si="38"/>
        <v>0.001</v>
      </c>
      <c r="H348" t="str">
        <f>""</f>
        <v/>
      </c>
      <c r="I348" t="str">
        <f t="shared" si="40"/>
        <v xml:space="preserve">                                                     </v>
      </c>
      <c r="J348" t="str">
        <f>""</f>
        <v/>
      </c>
    </row>
    <row r="349" spans="1:10">
      <c r="A349" s="1" t="str">
        <f>"3d7.(2H).4p"</f>
        <v>3d7.(2H).4p</v>
      </c>
      <c r="B349" t="str">
        <f>"u 3G*"</f>
        <v>u 3G*</v>
      </c>
      <c r="C349" t="str">
        <f>"5"</f>
        <v>5</v>
      </c>
      <c r="D349" t="str">
        <f>""</f>
        <v/>
      </c>
      <c r="E349" t="str">
        <f>"51373.910"</f>
        <v>51373.910</v>
      </c>
      <c r="F349" t="str">
        <f>""</f>
        <v/>
      </c>
      <c r="G349" t="str">
        <f t="shared" si="38"/>
        <v>0.001</v>
      </c>
      <c r="H349" t="str">
        <f>"1.140"</f>
        <v>1.140</v>
      </c>
      <c r="I349" t="str">
        <f>"  30             :    17  3d6.(3G).4s.4p.(3P*)  3G*  "</f>
        <v xml:space="preserve">  30             :    17  3d6.(3G).4s.4p.(3P*)  3G*  </v>
      </c>
      <c r="J349" t="str">
        <f>""</f>
        <v/>
      </c>
    </row>
    <row r="350" spans="1:10">
      <c r="A350" s="1" t="str">
        <f>"3d7.(2H).4p"</f>
        <v>3d7.(2H).4p</v>
      </c>
      <c r="B350" t="str">
        <f>"u 3G*"</f>
        <v>u 3G*</v>
      </c>
      <c r="C350" t="str">
        <f>"4"</f>
        <v>4</v>
      </c>
      <c r="D350" t="str">
        <f>""</f>
        <v/>
      </c>
      <c r="E350" t="str">
        <f>"51668.186"</f>
        <v>51668.186</v>
      </c>
      <c r="F350" t="str">
        <f>""</f>
        <v/>
      </c>
      <c r="G350" t="str">
        <f>"0.002"</f>
        <v>0.002</v>
      </c>
      <c r="H350" t="str">
        <f>"1.067"</f>
        <v>1.067</v>
      </c>
      <c r="I350" t="str">
        <f>"  35             :    32  3d6.(3G).4s.4p.(3P*)  3G*  "</f>
        <v xml:space="preserve">  35             :    32  3d6.(3G).4s.4p.(3P*)  3G*  </v>
      </c>
      <c r="J350" t="str">
        <f>""</f>
        <v/>
      </c>
    </row>
    <row r="351" spans="1:10">
      <c r="A351" s="1" t="str">
        <f>"3d7.(2H).4p"</f>
        <v>3d7.(2H).4p</v>
      </c>
      <c r="B351" t="str">
        <f>"u 3G*"</f>
        <v>u 3G*</v>
      </c>
      <c r="C351" t="str">
        <f>"3"</f>
        <v>3</v>
      </c>
      <c r="D351" t="str">
        <f>""</f>
        <v/>
      </c>
      <c r="E351" t="str">
        <f>"51825.773"</f>
        <v>51825.773</v>
      </c>
      <c r="F351" t="str">
        <f>""</f>
        <v/>
      </c>
      <c r="G351" t="str">
        <f>"0.001"</f>
        <v>0.001</v>
      </c>
      <c r="H351" t="str">
        <f>"0.801"</f>
        <v>0.801</v>
      </c>
      <c r="I351" t="str">
        <f>"  35             :    32  3d6.(3G).4s.4p.(3P*)  3G*  "</f>
        <v xml:space="preserve">  35             :    32  3d6.(3G).4s.4p.(3P*)  3G*  </v>
      </c>
      <c r="J351" t="str">
        <f>""</f>
        <v/>
      </c>
    </row>
    <row r="352" spans="1:10">
      <c r="A352" s="1" t="str">
        <f>"3d6.(5D).4s (6D).4d"</f>
        <v>3d6.(5D).4s (6D).4d</v>
      </c>
      <c r="B352" t="str">
        <f>"e 7S"</f>
        <v>e 7S</v>
      </c>
      <c r="C352" t="str">
        <f>"3"</f>
        <v>3</v>
      </c>
      <c r="D352" t="str">
        <f>""</f>
        <v/>
      </c>
      <c r="E352" t="str">
        <f>"51570.097"</f>
        <v>51570.097</v>
      </c>
      <c r="F352" t="str">
        <f>""</f>
        <v/>
      </c>
      <c r="G352" t="str">
        <f>"0.001"</f>
        <v>0.001</v>
      </c>
      <c r="H352" t="str">
        <f>"1.92?"</f>
        <v>1.92?</v>
      </c>
      <c r="I352" t="str">
        <f>"                                                     "</f>
        <v xml:space="preserve">                                                     </v>
      </c>
      <c r="J352" t="str">
        <f>""</f>
        <v/>
      </c>
    </row>
    <row r="353" spans="1:10">
      <c r="A353" s="1" t="str">
        <f>"3d6.(3H).4s.4p.(3P*)"</f>
        <v>3d6.(3H).4s.4p.(3P*)</v>
      </c>
      <c r="B353" t="str">
        <f>"1H*"</f>
        <v>1H*</v>
      </c>
      <c r="C353" t="str">
        <f>"5"</f>
        <v>5</v>
      </c>
      <c r="D353" t="str">
        <f>""</f>
        <v/>
      </c>
      <c r="E353" t="str">
        <f>"51630.178"</f>
        <v>51630.178</v>
      </c>
      <c r="F353" t="str">
        <f>""</f>
        <v/>
      </c>
      <c r="G353" t="str">
        <f>"0.002"</f>
        <v>0.002</v>
      </c>
      <c r="H353" t="str">
        <f>"1.061"</f>
        <v>1.061</v>
      </c>
      <c r="I353" t="str">
        <f>"  39             :    10  3d7.(2G).4p           1H*  "</f>
        <v xml:space="preserve">  39             :    10  3d7.(2G).4p           1H*  </v>
      </c>
      <c r="J353" t="str">
        <f>""</f>
        <v/>
      </c>
    </row>
    <row r="354" spans="1:10">
      <c r="A354" s="1" t="str">
        <f>"3d6.(5D).4s (6D).5p"</f>
        <v>3d6.(5D).4s (6D).5p</v>
      </c>
      <c r="B354" t="str">
        <f>"u 5P*"</f>
        <v>u 5P*</v>
      </c>
      <c r="C354" t="str">
        <f>"3"</f>
        <v>3</v>
      </c>
      <c r="D354" t="str">
        <f>""</f>
        <v/>
      </c>
      <c r="E354" t="str">
        <f>"51692.010"</f>
        <v>51692.010</v>
      </c>
      <c r="F354" t="str">
        <f>""</f>
        <v/>
      </c>
      <c r="G354" t="str">
        <f>"0.001"</f>
        <v>0.001</v>
      </c>
      <c r="H354" t="str">
        <f>""</f>
        <v/>
      </c>
      <c r="I354" t="str">
        <f>"                                                     "</f>
        <v xml:space="preserve">                                                     </v>
      </c>
      <c r="J354" t="str">
        <f>""</f>
        <v/>
      </c>
    </row>
    <row r="355" spans="1:10">
      <c r="A355" s="1" t="str">
        <f>"3d6.(5D).4s (6D).5p"</f>
        <v>3d6.(5D).4s (6D).5p</v>
      </c>
      <c r="B355" t="str">
        <f>"u 5P*"</f>
        <v>u 5P*</v>
      </c>
      <c r="C355" t="str">
        <f>"2"</f>
        <v>2</v>
      </c>
      <c r="D355" t="str">
        <f>""</f>
        <v/>
      </c>
      <c r="E355" t="str">
        <f>"51944.784"</f>
        <v>51944.784</v>
      </c>
      <c r="F355" t="str">
        <f>""</f>
        <v/>
      </c>
      <c r="G355" t="str">
        <f>"0.001"</f>
        <v>0.001</v>
      </c>
      <c r="H355" t="str">
        <f>""</f>
        <v/>
      </c>
      <c r="I355" t="str">
        <f>"                                                     "</f>
        <v xml:space="preserve">                                                     </v>
      </c>
      <c r="J355" t="str">
        <f>""</f>
        <v/>
      </c>
    </row>
    <row r="356" spans="1:10">
      <c r="A356" s="1" t="str">
        <f>"3d6.(5D).4s (6D).5p"</f>
        <v>3d6.(5D).4s (6D).5p</v>
      </c>
      <c r="B356" t="str">
        <f>"u 5P*"</f>
        <v>u 5P*</v>
      </c>
      <c r="C356" t="str">
        <f>"1"</f>
        <v>1</v>
      </c>
      <c r="D356" t="str">
        <f>""</f>
        <v/>
      </c>
      <c r="E356" t="str">
        <f>"52110.601"</f>
        <v>52110.601</v>
      </c>
      <c r="F356" t="str">
        <f>""</f>
        <v/>
      </c>
      <c r="G356" t="str">
        <f>"0.002"</f>
        <v>0.002</v>
      </c>
      <c r="H356" t="str">
        <f>"2.633"</f>
        <v>2.633</v>
      </c>
      <c r="I356" t="str">
        <f>"                                                     "</f>
        <v xml:space="preserve">                                                     </v>
      </c>
      <c r="J356" t="str">
        <f>""</f>
        <v/>
      </c>
    </row>
    <row r="357" spans="1:10">
      <c r="A357" s="1" t="str">
        <f>"3d7.(2P).4p"</f>
        <v>3d7.(2P).4p</v>
      </c>
      <c r="B357" t="str">
        <f>"y 1D*"</f>
        <v>y 1D*</v>
      </c>
      <c r="C357" t="str">
        <f>"2"</f>
        <v>2</v>
      </c>
      <c r="D357" t="str">
        <f>""</f>
        <v/>
      </c>
      <c r="E357" t="str">
        <f>"51708.307"</f>
        <v>51708.307</v>
      </c>
      <c r="F357" t="str">
        <f>""</f>
        <v/>
      </c>
      <c r="G357" t="str">
        <f t="shared" ref="G357:G362" si="41">"0.001"</f>
        <v>0.001</v>
      </c>
      <c r="H357" t="str">
        <f>"1.025"</f>
        <v>1.025</v>
      </c>
      <c r="I357" t="str">
        <f>"  49             :    18  3d7.(2D2).4p          1D*  "</f>
        <v xml:space="preserve">  49             :    18  3d7.(2D2).4p          1D*  </v>
      </c>
      <c r="J357" t="str">
        <f>""</f>
        <v/>
      </c>
    </row>
    <row r="358" spans="1:10">
      <c r="A358" s="1" t="str">
        <f>"3d6.(3H).4s.4p.(3P*)"</f>
        <v>3d6.(3H).4s.4p.(3P*)</v>
      </c>
      <c r="B358" t="str">
        <f>"x 1D*"</f>
        <v>x 1D*</v>
      </c>
      <c r="C358" t="str">
        <f>"2"</f>
        <v>2</v>
      </c>
      <c r="D358" t="str">
        <f>""</f>
        <v/>
      </c>
      <c r="E358" t="str">
        <f>"51762.076"</f>
        <v>51762.076</v>
      </c>
      <c r="F358" t="str">
        <f>""</f>
        <v/>
      </c>
      <c r="G358" t="str">
        <f t="shared" si="41"/>
        <v>0.001</v>
      </c>
      <c r="H358" t="str">
        <f>"0.883"</f>
        <v>0.883</v>
      </c>
      <c r="I358" t="str">
        <f>"  56             :    15  3d7.(2D2).4p          1D*  "</f>
        <v xml:space="preserve">  56             :    15  3d7.(2D2).4p          1D*  </v>
      </c>
      <c r="J358" t="str">
        <f>""</f>
        <v/>
      </c>
    </row>
    <row r="359" spans="1:10">
      <c r="A359" s="1" t="str">
        <f>"3d6.(5D).4s (6D).4d"</f>
        <v>3d6.(5D).4s (6D).4d</v>
      </c>
      <c r="B359" t="str">
        <f>"e 5P"</f>
        <v>e 5P</v>
      </c>
      <c r="C359" t="str">
        <f>"3"</f>
        <v>3</v>
      </c>
      <c r="D359" t="str">
        <f>""</f>
        <v/>
      </c>
      <c r="E359" t="str">
        <f>"51837.238"</f>
        <v>51837.238</v>
      </c>
      <c r="F359" t="str">
        <f>""</f>
        <v/>
      </c>
      <c r="G359" t="str">
        <f t="shared" si="41"/>
        <v>0.001</v>
      </c>
      <c r="H359" t="str">
        <f>"1.664"</f>
        <v>1.664</v>
      </c>
      <c r="I359" t="str">
        <f>"                                                     "</f>
        <v xml:space="preserve">                                                     </v>
      </c>
      <c r="J359" t="str">
        <f>""</f>
        <v/>
      </c>
    </row>
    <row r="360" spans="1:10">
      <c r="A360" s="1" t="str">
        <f>"3d6.(5D).4s (6D).4d"</f>
        <v>3d6.(5D).4s (6D).4d</v>
      </c>
      <c r="B360" t="str">
        <f>"e 5P"</f>
        <v>e 5P</v>
      </c>
      <c r="C360" t="str">
        <f>"1"</f>
        <v>1</v>
      </c>
      <c r="D360" t="str">
        <f>""</f>
        <v/>
      </c>
      <c r="E360" t="str">
        <f>"52019.669"</f>
        <v>52019.669</v>
      </c>
      <c r="F360" t="str">
        <f>""</f>
        <v/>
      </c>
      <c r="G360" t="str">
        <f t="shared" si="41"/>
        <v>0.001</v>
      </c>
      <c r="H360" t="str">
        <f>"2.432"</f>
        <v>2.432</v>
      </c>
      <c r="I360" t="str">
        <f>"                                                     "</f>
        <v xml:space="preserve">                                                     </v>
      </c>
      <c r="J360" t="str">
        <f>""</f>
        <v/>
      </c>
    </row>
    <row r="361" spans="1:10">
      <c r="A361" s="1" t="str">
        <f>"3d6.(5D).4s (6D).4d"</f>
        <v>3d6.(5D).4s (6D).4d</v>
      </c>
      <c r="B361" t="str">
        <f>"e 5P"</f>
        <v>e 5P</v>
      </c>
      <c r="C361" t="str">
        <f>"2"</f>
        <v>2</v>
      </c>
      <c r="D361" t="str">
        <f>""</f>
        <v/>
      </c>
      <c r="E361" t="str">
        <f>"52067.469"</f>
        <v>52067.469</v>
      </c>
      <c r="F361" t="str">
        <f>""</f>
        <v/>
      </c>
      <c r="G361" t="str">
        <f t="shared" si="41"/>
        <v>0.001</v>
      </c>
      <c r="H361" t="str">
        <f>""</f>
        <v/>
      </c>
      <c r="I361" t="str">
        <f>"                                                     "</f>
        <v xml:space="preserve">                                                     </v>
      </c>
      <c r="J361" t="str">
        <f>""</f>
        <v/>
      </c>
    </row>
    <row r="362" spans="1:10">
      <c r="A362" s="1" t="str">
        <f>"3d7.(2P).4p"</f>
        <v>3d7.(2P).4p</v>
      </c>
      <c r="B362" t="str">
        <f>"u 3D*"</f>
        <v>u 3D*</v>
      </c>
      <c r="C362" t="str">
        <f>"3"</f>
        <v>3</v>
      </c>
      <c r="D362" t="str">
        <f>""</f>
        <v/>
      </c>
      <c r="E362" t="str">
        <f>"51969.101"</f>
        <v>51969.101</v>
      </c>
      <c r="F362" t="str">
        <f>""</f>
        <v/>
      </c>
      <c r="G362" t="str">
        <f t="shared" si="41"/>
        <v>0.001</v>
      </c>
      <c r="H362" t="str">
        <f>"1.306"</f>
        <v>1.306</v>
      </c>
      <c r="I362" t="str">
        <f>"  61             :    19  3d6.(3F2).4s.4p.(1P*) 3D*  "</f>
        <v xml:space="preserve">  61             :    19  3d6.(3F2).4s.4p.(1P*) 3D*  </v>
      </c>
      <c r="J362" t="str">
        <f>""</f>
        <v/>
      </c>
    </row>
    <row r="363" spans="1:10">
      <c r="A363" s="1" t="str">
        <f>"3d7.(2P).4p"</f>
        <v>3d7.(2P).4p</v>
      </c>
      <c r="B363" t="str">
        <f>"u 3D*"</f>
        <v>u 3D*</v>
      </c>
      <c r="C363" t="str">
        <f>"2"</f>
        <v>2</v>
      </c>
      <c r="D363" t="str">
        <f>""</f>
        <v/>
      </c>
      <c r="E363" t="str">
        <f>"52296.920"</f>
        <v>52296.920</v>
      </c>
      <c r="F363" t="str">
        <f>""</f>
        <v/>
      </c>
      <c r="G363" t="str">
        <f>"0.002"</f>
        <v>0.002</v>
      </c>
      <c r="H363" t="str">
        <f>"1.156"</f>
        <v>1.156</v>
      </c>
      <c r="I363" t="str">
        <f>"  53             :    21  3d6.(3F2).4s.4p.(1P*) 3D*  "</f>
        <v xml:space="preserve">  53             :    21  3d6.(3F2).4s.4p.(1P*) 3D*  </v>
      </c>
      <c r="J363" t="str">
        <f>""</f>
        <v/>
      </c>
    </row>
    <row r="364" spans="1:10">
      <c r="A364" s="1" t="str">
        <f>"3d7.(2P).4p"</f>
        <v>3d7.(2P).4p</v>
      </c>
      <c r="B364" t="str">
        <f>"u 3D*"</f>
        <v>u 3D*</v>
      </c>
      <c r="C364" t="str">
        <f>"1"</f>
        <v>1</v>
      </c>
      <c r="D364" t="str">
        <f>""</f>
        <v/>
      </c>
      <c r="E364" t="str">
        <f>"52512.457"</f>
        <v>52512.457</v>
      </c>
      <c r="F364" t="str">
        <f>""</f>
        <v/>
      </c>
      <c r="G364" t="str">
        <f>"0.002"</f>
        <v>0.002</v>
      </c>
      <c r="H364" t="str">
        <f>"0.700"</f>
        <v>0.700</v>
      </c>
      <c r="I364" t="str">
        <f>"  48             :    22  3d6.(3F2).4s.4p.(1P*) 3D*  "</f>
        <v xml:space="preserve">  48             :    22  3d6.(3F2).4s.4p.(1P*) 3D*  </v>
      </c>
      <c r="J364" t="str">
        <f>""</f>
        <v/>
      </c>
    </row>
    <row r="365" spans="1:10">
      <c r="A365" s="1" t="str">
        <f>"3d7.(2P).4p"</f>
        <v>3d7.(2P).4p</v>
      </c>
      <c r="B365" t="str">
        <f>"1P*"</f>
        <v>1P*</v>
      </c>
      <c r="C365" t="str">
        <f>"1"</f>
        <v>1</v>
      </c>
      <c r="D365" t="str">
        <f>""</f>
        <v/>
      </c>
      <c r="E365" t="str">
        <f>"52180.820"</f>
        <v>52180.820</v>
      </c>
      <c r="F365" t="str">
        <f>""</f>
        <v/>
      </c>
      <c r="G365" t="str">
        <f>"0.002"</f>
        <v>0.002</v>
      </c>
      <c r="H365" t="str">
        <f>"0.801"</f>
        <v>0.801</v>
      </c>
      <c r="I365" t="str">
        <f>"  47             :    20  3d7.(2D2).4p          3D*  "</f>
        <v xml:space="preserve">  47             :    20  3d7.(2D2).4p          3D*  </v>
      </c>
      <c r="J365" t="str">
        <f>""</f>
        <v/>
      </c>
    </row>
    <row r="366" spans="1:10">
      <c r="A366" s="1" t="str">
        <f>"3d7.(2D2).4p"</f>
        <v>3d7.(2D2).4p</v>
      </c>
      <c r="B366" t="str">
        <f>"t 3D*"</f>
        <v>t 3D*</v>
      </c>
      <c r="C366" t="str">
        <f>"3"</f>
        <v>3</v>
      </c>
      <c r="D366" t="str">
        <f>""</f>
        <v/>
      </c>
      <c r="E366" t="str">
        <f>"52213.230"</f>
        <v>52213.230</v>
      </c>
      <c r="F366" t="str">
        <f>""</f>
        <v/>
      </c>
      <c r="G366" t="str">
        <f>"0.002"</f>
        <v>0.002</v>
      </c>
      <c r="H366" t="str">
        <f>"1.317"</f>
        <v>1.317</v>
      </c>
      <c r="I366" t="str">
        <f>"  75             :    19  3d6.(3F2).4s.4p.(1P*) 3D*  "</f>
        <v xml:space="preserve">  75             :    19  3d6.(3F2).4s.4p.(1P*) 3D*  </v>
      </c>
      <c r="J366" t="str">
        <f>""</f>
        <v/>
      </c>
    </row>
    <row r="367" spans="1:10">
      <c r="A367" s="1" t="str">
        <f>"3d7.(2D2).4p"</f>
        <v>3d7.(2D2).4p</v>
      </c>
      <c r="B367" t="str">
        <f>"t 3D*"</f>
        <v>t 3D*</v>
      </c>
      <c r="C367" t="str">
        <f>"2"</f>
        <v>2</v>
      </c>
      <c r="D367" t="str">
        <f>""</f>
        <v/>
      </c>
      <c r="E367" t="str">
        <f>"52682.920"</f>
        <v>52682.920</v>
      </c>
      <c r="F367" t="str">
        <f>""</f>
        <v/>
      </c>
      <c r="G367" t="str">
        <f>"0.001"</f>
        <v>0.001</v>
      </c>
      <c r="H367" t="str">
        <f>"1.145"</f>
        <v>1.145</v>
      </c>
      <c r="I367" t="str">
        <f>"  60             :    11  3d7.(2P).4p           3D*  "</f>
        <v xml:space="preserve">  60             :    11  3d7.(2P).4p           3D*  </v>
      </c>
      <c r="J367" t="str">
        <f>""</f>
        <v/>
      </c>
    </row>
    <row r="368" spans="1:10">
      <c r="A368" s="1" t="str">
        <f>"3d7.(2D2).4p"</f>
        <v>3d7.(2D2).4p</v>
      </c>
      <c r="B368" t="str">
        <f>"t 3D*"</f>
        <v>t 3D*</v>
      </c>
      <c r="C368" t="str">
        <f>"1"</f>
        <v>1</v>
      </c>
      <c r="D368" t="str">
        <f>""</f>
        <v/>
      </c>
      <c r="E368" t="str">
        <f>"52857.804"</f>
        <v>52857.804</v>
      </c>
      <c r="F368" t="str">
        <f>""</f>
        <v/>
      </c>
      <c r="G368" t="str">
        <f>"0.002"</f>
        <v>0.002</v>
      </c>
      <c r="H368" t="str">
        <f>"1.246"</f>
        <v>1.246</v>
      </c>
      <c r="I368" t="str">
        <f>"  45             :    10  3d7.(2P).4p           3D*  "</f>
        <v xml:space="preserve">  45             :    10  3d7.(2P).4p           3D*  </v>
      </c>
      <c r="J368" t="str">
        <f>""</f>
        <v/>
      </c>
    </row>
    <row r="369" spans="1:10">
      <c r="A369" s="1" t="str">
        <f t="shared" ref="A369:A374" si="42">"3d7.(2H).4p"</f>
        <v>3d7.(2H).4p</v>
      </c>
      <c r="B369" t="str">
        <f>"w 3H*"</f>
        <v>w 3H*</v>
      </c>
      <c r="C369" t="str">
        <f>"6"</f>
        <v>6</v>
      </c>
      <c r="D369" t="str">
        <f>""</f>
        <v/>
      </c>
      <c r="E369" t="str">
        <f>"52431.447"</f>
        <v>52431.447</v>
      </c>
      <c r="F369" t="str">
        <f>""</f>
        <v/>
      </c>
      <c r="G369" t="str">
        <f>"0.002"</f>
        <v>0.002</v>
      </c>
      <c r="H369" t="str">
        <f>"1.177"</f>
        <v>1.177</v>
      </c>
      <c r="I369" t="str">
        <f>"  63             :    17  3d6.(3H).4s.4p.(1P*)  3H*  "</f>
        <v xml:space="preserve">  63             :    17  3d6.(3H).4s.4p.(1P*)  3H*  </v>
      </c>
      <c r="J369" t="str">
        <f>""</f>
        <v/>
      </c>
    </row>
    <row r="370" spans="1:10">
      <c r="A370" s="1" t="str">
        <f t="shared" si="42"/>
        <v>3d7.(2H).4p</v>
      </c>
      <c r="B370" t="str">
        <f>"w 3H*"</f>
        <v>w 3H*</v>
      </c>
      <c r="C370" t="str">
        <f>"5"</f>
        <v>5</v>
      </c>
      <c r="D370" t="str">
        <f>""</f>
        <v/>
      </c>
      <c r="E370" t="str">
        <f>"52613.090"</f>
        <v>52613.090</v>
      </c>
      <c r="F370" t="str">
        <f>""</f>
        <v/>
      </c>
      <c r="G370" t="str">
        <f>"0.002"</f>
        <v>0.002</v>
      </c>
      <c r="H370" t="str">
        <f>"1.033"</f>
        <v>1.033</v>
      </c>
      <c r="I370" t="str">
        <f>"  60             :    14  3d6.(3H).4s.4p.(1P*)  3H*  "</f>
        <v xml:space="preserve">  60             :    14  3d6.(3H).4s.4p.(1P*)  3H*  </v>
      </c>
      <c r="J370" t="str">
        <f>""</f>
        <v/>
      </c>
    </row>
    <row r="371" spans="1:10">
      <c r="A371" s="1" t="str">
        <f t="shared" si="42"/>
        <v>3d7.(2H).4p</v>
      </c>
      <c r="B371" t="str">
        <f>"w 3H*"</f>
        <v>w 3H*</v>
      </c>
      <c r="C371" t="str">
        <f>"4"</f>
        <v>4</v>
      </c>
      <c r="D371" t="str">
        <f>""</f>
        <v/>
      </c>
      <c r="E371" t="str">
        <f>"52768.743"</f>
        <v>52768.743</v>
      </c>
      <c r="F371" t="str">
        <f>""</f>
        <v/>
      </c>
      <c r="G371" t="str">
        <f>"0.003"</f>
        <v>0.003</v>
      </c>
      <c r="H371" t="str">
        <f>"0.810"</f>
        <v>0.810</v>
      </c>
      <c r="I371" t="str">
        <f>"  61             :    18  3d6.(3H).4s.4p.(1P*)  3H*  "</f>
        <v xml:space="preserve">  61             :    18  3d6.(3H).4s.4p.(1P*)  3H*  </v>
      </c>
      <c r="J371" t="str">
        <f>""</f>
        <v/>
      </c>
    </row>
    <row r="372" spans="1:10">
      <c r="A372" s="1" t="str">
        <f t="shared" si="42"/>
        <v>3d7.(2H).4p</v>
      </c>
      <c r="B372" t="str">
        <f>"y 3I*"</f>
        <v>y 3I*</v>
      </c>
      <c r="C372" t="str">
        <f>"6"</f>
        <v>6</v>
      </c>
      <c r="D372" t="str">
        <f>""</f>
        <v/>
      </c>
      <c r="E372" t="str">
        <f>"52513.560"</f>
        <v>52513.560</v>
      </c>
      <c r="F372" t="str">
        <f>""</f>
        <v/>
      </c>
      <c r="G372" t="str">
        <f>"0.002"</f>
        <v>0.002</v>
      </c>
      <c r="H372" t="str">
        <f>"1.019"</f>
        <v>1.019</v>
      </c>
      <c r="I372" t="str">
        <f>"  65             :    22  3d7.(2H).4p           1I*  "</f>
        <v xml:space="preserve">  65             :    22  3d7.(2H).4p           1I*  </v>
      </c>
      <c r="J372" t="str">
        <f>""</f>
        <v/>
      </c>
    </row>
    <row r="373" spans="1:10">
      <c r="A373" s="1" t="str">
        <f t="shared" si="42"/>
        <v>3d7.(2H).4p</v>
      </c>
      <c r="B373" t="str">
        <f>"y 3I*"</f>
        <v>y 3I*</v>
      </c>
      <c r="C373" t="str">
        <f>"7"</f>
        <v>7</v>
      </c>
      <c r="D373" t="str">
        <f>""</f>
        <v/>
      </c>
      <c r="E373" t="str">
        <f>"52654.992"</f>
        <v>52654.992</v>
      </c>
      <c r="F373" t="str">
        <f>""</f>
        <v/>
      </c>
      <c r="G373" t="str">
        <f>"0.003"</f>
        <v>0.003</v>
      </c>
      <c r="H373" t="str">
        <f>"1.147"</f>
        <v>1.147</v>
      </c>
      <c r="I373" t="str">
        <f>"  88             :     8  3d6.(1I).4s.4p.(3P*)  3I*  "</f>
        <v xml:space="preserve">  88             :     8  3d6.(1I).4s.4p.(3P*)  3I*  </v>
      </c>
      <c r="J373" t="str">
        <f>""</f>
        <v/>
      </c>
    </row>
    <row r="374" spans="1:10">
      <c r="A374" s="1" t="str">
        <f t="shared" si="42"/>
        <v>3d7.(2H).4p</v>
      </c>
      <c r="B374" t="str">
        <f>"y 3I*"</f>
        <v>y 3I*</v>
      </c>
      <c r="C374" t="str">
        <f>"5"</f>
        <v>5</v>
      </c>
      <c r="D374" t="str">
        <f>""</f>
        <v/>
      </c>
      <c r="E374" t="str">
        <f>"52898.998"</f>
        <v>52898.998</v>
      </c>
      <c r="F374" t="str">
        <f>""</f>
        <v/>
      </c>
      <c r="G374" t="str">
        <f>"0.003"</f>
        <v>0.003</v>
      </c>
      <c r="H374" t="str">
        <f>"0.830"</f>
        <v>0.830</v>
      </c>
      <c r="I374" t="str">
        <f>"  85             :     9  3d6.(1I).4s.4p.(3P*)  3I*  "</f>
        <v xml:space="preserve">  85             :     9  3d6.(1I).4s.4p.(3P*)  3I*  </v>
      </c>
      <c r="J374" t="str">
        <f>""</f>
        <v/>
      </c>
    </row>
    <row r="375" spans="1:10">
      <c r="A375" s="1" t="str">
        <f>"3d7.(4F).5p"</f>
        <v>3d7.(4F).5p</v>
      </c>
      <c r="B375" t="str">
        <f>"3G*"</f>
        <v>3G*</v>
      </c>
      <c r="C375" t="str">
        <f>"5"</f>
        <v>5</v>
      </c>
      <c r="D375" t="str">
        <f>""</f>
        <v/>
      </c>
      <c r="E375" t="str">
        <f>"52807.001"</f>
        <v>52807.001</v>
      </c>
      <c r="F375" t="str">
        <f>""</f>
        <v/>
      </c>
      <c r="G375" t="str">
        <f>"0.002"</f>
        <v>0.002</v>
      </c>
      <c r="H375" t="str">
        <f>""</f>
        <v/>
      </c>
      <c r="I375" t="str">
        <f>"                                                     "</f>
        <v xml:space="preserve">                                                     </v>
      </c>
      <c r="J375" t="str">
        <f>""</f>
        <v/>
      </c>
    </row>
    <row r="376" spans="1:10">
      <c r="A376" s="1" t="str">
        <f>"3d7.(4F).5p"</f>
        <v>3d7.(4F).5p</v>
      </c>
      <c r="B376" t="str">
        <f>"3G*"</f>
        <v>3G*</v>
      </c>
      <c r="C376" t="str">
        <f>"4"</f>
        <v>4</v>
      </c>
      <c r="D376" t="str">
        <f>""</f>
        <v/>
      </c>
      <c r="E376" t="str">
        <f>"54017.581"</f>
        <v>54017.581</v>
      </c>
      <c r="F376" t="str">
        <f>""</f>
        <v/>
      </c>
      <c r="G376" t="str">
        <f>"0.002"</f>
        <v>0.002</v>
      </c>
      <c r="H376" t="str">
        <f>""</f>
        <v/>
      </c>
      <c r="I376" t="str">
        <f>"                                                     "</f>
        <v xml:space="preserve">                                                     </v>
      </c>
      <c r="J376" t="str">
        <f>""</f>
        <v/>
      </c>
    </row>
    <row r="377" spans="1:10">
      <c r="A377" s="1" t="str">
        <f>"3d7.(4F).5p"</f>
        <v>3d7.(4F).5p</v>
      </c>
      <c r="B377" t="str">
        <f>"3G*"</f>
        <v>3G*</v>
      </c>
      <c r="C377" t="str">
        <f>"3"</f>
        <v>3</v>
      </c>
      <c r="D377" t="str">
        <f>""</f>
        <v/>
      </c>
      <c r="E377" t="str">
        <f>"54357.405"</f>
        <v>54357.405</v>
      </c>
      <c r="F377" t="str">
        <f>""</f>
        <v/>
      </c>
      <c r="G377" t="str">
        <f>"0.001"</f>
        <v>0.001</v>
      </c>
      <c r="H377" t="str">
        <f>""</f>
        <v/>
      </c>
      <c r="I377" t="str">
        <f>"                                                     "</f>
        <v xml:space="preserve">                                                     </v>
      </c>
      <c r="J377" t="str">
        <f>""</f>
        <v/>
      </c>
    </row>
    <row r="378" spans="1:10">
      <c r="A378" s="1" t="str">
        <f>"3d7.(2D2).4p"</f>
        <v>3d7.(2D2).4p</v>
      </c>
      <c r="B378" t="str">
        <f>"v 3P*"</f>
        <v>v 3P*</v>
      </c>
      <c r="C378" t="str">
        <f>"2"</f>
        <v>2</v>
      </c>
      <c r="D378" t="str">
        <f>""</f>
        <v/>
      </c>
      <c r="E378" t="str">
        <f>"52916.295"</f>
        <v>52916.295</v>
      </c>
      <c r="F378" t="str">
        <f>""</f>
        <v/>
      </c>
      <c r="G378" t="str">
        <f>"0.002"</f>
        <v>0.002</v>
      </c>
      <c r="H378" t="str">
        <f>"1.495"</f>
        <v>1.495</v>
      </c>
      <c r="I378" t="str">
        <f>"  55             :    19  3d6.(3P2).4s.4p.(1P*) 3P*  "</f>
        <v xml:space="preserve">  55             :    19  3d6.(3P2).4s.4p.(1P*) 3P*  </v>
      </c>
      <c r="J378" t="str">
        <f>""</f>
        <v/>
      </c>
    </row>
    <row r="379" spans="1:10">
      <c r="A379" s="1" t="str">
        <f>"3d7.(2D2).4p"</f>
        <v>3d7.(2D2).4p</v>
      </c>
      <c r="B379" t="str">
        <f>"v 3P*"</f>
        <v>v 3P*</v>
      </c>
      <c r="C379" t="str">
        <f>"1"</f>
        <v>1</v>
      </c>
      <c r="D379" t="str">
        <f>""</f>
        <v/>
      </c>
      <c r="E379" t="str">
        <f>"53229.941"</f>
        <v>53229.941</v>
      </c>
      <c r="F379" t="str">
        <f>""</f>
        <v/>
      </c>
      <c r="G379" t="str">
        <f>"0.002"</f>
        <v>0.002</v>
      </c>
      <c r="H379" t="str">
        <f>"1.266"</f>
        <v>1.266</v>
      </c>
      <c r="I379" t="str">
        <f>"  41             :    13  3d7.(2P).4p           1P*  "</f>
        <v xml:space="preserve">  41             :    13  3d7.(2P).4p           1P*  </v>
      </c>
      <c r="J379" t="str">
        <f>""</f>
        <v/>
      </c>
    </row>
    <row r="380" spans="1:10">
      <c r="A380" s="1" t="str">
        <f>"3d6.(3G).4s.4p.(3P*)"</f>
        <v>3d6.(3G).4s.4p.(3P*)</v>
      </c>
      <c r="B380" t="str">
        <f>"x 3F*"</f>
        <v>x 3F*</v>
      </c>
      <c r="C380" t="str">
        <f>"4"</f>
        <v>4</v>
      </c>
      <c r="D380" t="str">
        <f>""</f>
        <v/>
      </c>
      <c r="E380" t="str">
        <f>"52953.629"</f>
        <v>52953.629</v>
      </c>
      <c r="F380" t="str">
        <f>""</f>
        <v/>
      </c>
      <c r="G380" t="str">
        <f>"0.001"</f>
        <v>0.001</v>
      </c>
      <c r="H380" t="str">
        <f>""</f>
        <v/>
      </c>
      <c r="I380" t="str">
        <f>"                                                     "</f>
        <v xml:space="preserve">                                                     </v>
      </c>
      <c r="J380" t="str">
        <f>""</f>
        <v/>
      </c>
    </row>
    <row r="381" spans="1:10">
      <c r="A381" s="1" t="str">
        <f>"3d6.(3G).4s.4p.(3P*)"</f>
        <v>3d6.(3G).4s.4p.(3P*)</v>
      </c>
      <c r="B381" t="str">
        <f>"x 3F*"</f>
        <v>x 3F*</v>
      </c>
      <c r="C381" t="str">
        <f>"3"</f>
        <v>3</v>
      </c>
      <c r="D381" t="str">
        <f>""</f>
        <v/>
      </c>
      <c r="E381" t="str">
        <f>"53357.515"</f>
        <v>53357.515</v>
      </c>
      <c r="F381" t="str">
        <f>""</f>
        <v/>
      </c>
      <c r="G381" t="str">
        <f>"0.001"</f>
        <v>0.001</v>
      </c>
      <c r="H381" t="str">
        <f>""</f>
        <v/>
      </c>
      <c r="I381" t="str">
        <f>"  34             :    30  3d7.(2D2).4p          3F*  "</f>
        <v xml:space="preserve">  34             :    30  3d7.(2D2).4p          3F*  </v>
      </c>
      <c r="J381" t="str">
        <f>""</f>
        <v/>
      </c>
    </row>
    <row r="382" spans="1:10">
      <c r="A382" s="1" t="str">
        <f>"3d6.(3G).4s.4p.(3P*)"</f>
        <v>3d6.(3G).4s.4p.(3P*)</v>
      </c>
      <c r="B382" t="str">
        <f>"x 3F*"</f>
        <v>x 3F*</v>
      </c>
      <c r="C382" t="str">
        <f>"2"</f>
        <v>2</v>
      </c>
      <c r="D382" t="str">
        <f>""</f>
        <v/>
      </c>
      <c r="E382" t="str">
        <f>"53749.405"</f>
        <v>53749.405</v>
      </c>
      <c r="F382" t="str">
        <f>""</f>
        <v/>
      </c>
      <c r="G382" t="str">
        <f>"0.002"</f>
        <v>0.002</v>
      </c>
      <c r="H382" t="str">
        <f>""</f>
        <v/>
      </c>
      <c r="I382" t="str">
        <f t="shared" ref="I382:I397" si="43">"                                                     "</f>
        <v xml:space="preserve">                                                     </v>
      </c>
      <c r="J382" t="str">
        <f>""</f>
        <v/>
      </c>
    </row>
    <row r="383" spans="1:10">
      <c r="A383" s="1" t="str">
        <f>"3d7.(4F).4d"</f>
        <v>3d7.(4F).4d</v>
      </c>
      <c r="B383" t="str">
        <f>"g 5F"</f>
        <v>g 5F</v>
      </c>
      <c r="C383" t="str">
        <f>"5"</f>
        <v>5</v>
      </c>
      <c r="D383" t="str">
        <f>""</f>
        <v/>
      </c>
      <c r="E383" t="str">
        <f>"53061.318"</f>
        <v>53061.318</v>
      </c>
      <c r="F383" t="str">
        <f>""</f>
        <v/>
      </c>
      <c r="G383" t="str">
        <f>"0.001"</f>
        <v>0.001</v>
      </c>
      <c r="H383" t="str">
        <f>""</f>
        <v/>
      </c>
      <c r="I383" t="str">
        <f t="shared" si="43"/>
        <v xml:space="preserve">                                                     </v>
      </c>
      <c r="J383" t="str">
        <f>""</f>
        <v/>
      </c>
    </row>
    <row r="384" spans="1:10">
      <c r="A384" s="1" t="str">
        <f>"3d7.(4F).4d"</f>
        <v>3d7.(4F).4d</v>
      </c>
      <c r="B384" t="str">
        <f>"g 5F"</f>
        <v>g 5F</v>
      </c>
      <c r="C384" t="str">
        <f>"4"</f>
        <v>4</v>
      </c>
      <c r="D384" t="str">
        <f>""</f>
        <v/>
      </c>
      <c r="E384" t="str">
        <f>"53393.673"</f>
        <v>53393.673</v>
      </c>
      <c r="F384" t="str">
        <f>""</f>
        <v/>
      </c>
      <c r="G384" t="str">
        <f>"0.001"</f>
        <v>0.001</v>
      </c>
      <c r="H384" t="str">
        <f>""</f>
        <v/>
      </c>
      <c r="I384" t="str">
        <f t="shared" si="43"/>
        <v xml:space="preserve">                                                     </v>
      </c>
      <c r="J384" t="str">
        <f>""</f>
        <v/>
      </c>
    </row>
    <row r="385" spans="1:10">
      <c r="A385" s="1" t="str">
        <f>"3d7.(4F).4d"</f>
        <v>3d7.(4F).4d</v>
      </c>
      <c r="B385" t="str">
        <f>"g 5F"</f>
        <v>g 5F</v>
      </c>
      <c r="C385" t="str">
        <f>"3"</f>
        <v>3</v>
      </c>
      <c r="D385" t="str">
        <f>""</f>
        <v/>
      </c>
      <c r="E385" t="str">
        <f>"53830.975"</f>
        <v>53830.975</v>
      </c>
      <c r="F385" t="str">
        <f>""</f>
        <v/>
      </c>
      <c r="G385" t="str">
        <f>"0.001"</f>
        <v>0.001</v>
      </c>
      <c r="H385" t="str">
        <f>""</f>
        <v/>
      </c>
      <c r="I385" t="str">
        <f t="shared" si="43"/>
        <v xml:space="preserve">                                                     </v>
      </c>
      <c r="J385" t="str">
        <f>""</f>
        <v/>
      </c>
    </row>
    <row r="386" spans="1:10">
      <c r="A386" s="1" t="str">
        <f>"3d7.(4F).4d"</f>
        <v>3d7.(4F).4d</v>
      </c>
      <c r="B386" t="str">
        <f>"g 5F"</f>
        <v>g 5F</v>
      </c>
      <c r="C386" t="str">
        <f>"2"</f>
        <v>2</v>
      </c>
      <c r="D386" t="str">
        <f>""</f>
        <v/>
      </c>
      <c r="E386" t="str">
        <f>"54257.502"</f>
        <v>54257.502</v>
      </c>
      <c r="F386" t="str">
        <f>""</f>
        <v/>
      </c>
      <c r="G386" t="str">
        <f>"0.001"</f>
        <v>0.001</v>
      </c>
      <c r="H386" t="str">
        <f>""</f>
        <v/>
      </c>
      <c r="I386" t="str">
        <f t="shared" si="43"/>
        <v xml:space="preserve">                                                     </v>
      </c>
      <c r="J386" t="str">
        <f>""</f>
        <v/>
      </c>
    </row>
    <row r="387" spans="1:10">
      <c r="A387" s="1" t="str">
        <f>"3d7.(4F).4d"</f>
        <v>3d7.(4F).4d</v>
      </c>
      <c r="B387" t="str">
        <f>"g 5F"</f>
        <v>g 5F</v>
      </c>
      <c r="C387" t="str">
        <f>"1"</f>
        <v>1</v>
      </c>
      <c r="D387" t="str">
        <f>""</f>
        <v/>
      </c>
      <c r="E387" t="str">
        <f>"54386.186"</f>
        <v>54386.186</v>
      </c>
      <c r="F387" t="str">
        <f>""</f>
        <v/>
      </c>
      <c r="G387" t="str">
        <f>"0.001"</f>
        <v>0.001</v>
      </c>
      <c r="H387" t="str">
        <f>""</f>
        <v/>
      </c>
      <c r="I387" t="str">
        <f t="shared" si="43"/>
        <v xml:space="preserve">                                                     </v>
      </c>
      <c r="J387" t="str">
        <f>""</f>
        <v/>
      </c>
    </row>
    <row r="388" spans="1:10">
      <c r="A388" s="1" t="str">
        <f t="shared" ref="A388:A397" si="44">"3d7.(4F).5p"</f>
        <v>3d7.(4F).5p</v>
      </c>
      <c r="B388" t="str">
        <f>"5G*"</f>
        <v>5G*</v>
      </c>
      <c r="C388" t="str">
        <f>"6"</f>
        <v>6</v>
      </c>
      <c r="D388" t="str">
        <f>""</f>
        <v/>
      </c>
      <c r="E388" t="str">
        <f>"53069.357"</f>
        <v>53069.357</v>
      </c>
      <c r="F388" t="str">
        <f>""</f>
        <v/>
      </c>
      <c r="G388" t="str">
        <f>"0.002"</f>
        <v>0.002</v>
      </c>
      <c r="H388" t="str">
        <f>""</f>
        <v/>
      </c>
      <c r="I388" t="str">
        <f t="shared" si="43"/>
        <v xml:space="preserve">                                                     </v>
      </c>
      <c r="J388" t="str">
        <f>""</f>
        <v/>
      </c>
    </row>
    <row r="389" spans="1:10">
      <c r="A389" s="1" t="str">
        <f t="shared" si="44"/>
        <v>3d7.(4F).5p</v>
      </c>
      <c r="B389" t="str">
        <f>"5G*"</f>
        <v>5G*</v>
      </c>
      <c r="C389" t="str">
        <f>"5"</f>
        <v>5</v>
      </c>
      <c r="D389" t="str">
        <f>""</f>
        <v/>
      </c>
      <c r="E389" t="str">
        <f>"53586.510"</f>
        <v>53586.510</v>
      </c>
      <c r="F389" t="str">
        <f>""</f>
        <v/>
      </c>
      <c r="G389" t="str">
        <f>"0.002"</f>
        <v>0.002</v>
      </c>
      <c r="H389" t="str">
        <f>""</f>
        <v/>
      </c>
      <c r="I389" t="str">
        <f t="shared" si="43"/>
        <v xml:space="preserve">                                                     </v>
      </c>
      <c r="J389" t="str">
        <f>""</f>
        <v/>
      </c>
    </row>
    <row r="390" spans="1:10">
      <c r="A390" s="1" t="str">
        <f t="shared" si="44"/>
        <v>3d7.(4F).5p</v>
      </c>
      <c r="B390" t="str">
        <f>"5G*"</f>
        <v>5G*</v>
      </c>
      <c r="C390" t="str">
        <f>"4"</f>
        <v>4</v>
      </c>
      <c r="D390" t="str">
        <f>""</f>
        <v/>
      </c>
      <c r="E390" t="str">
        <f>"53852.114"</f>
        <v>53852.114</v>
      </c>
      <c r="F390" t="str">
        <f>""</f>
        <v/>
      </c>
      <c r="G390" t="str">
        <f>"0.001"</f>
        <v>0.001</v>
      </c>
      <c r="H390" t="str">
        <f>""</f>
        <v/>
      </c>
      <c r="I390" t="str">
        <f t="shared" si="43"/>
        <v xml:space="preserve">                                                     </v>
      </c>
      <c r="J390" t="str">
        <f>""</f>
        <v/>
      </c>
    </row>
    <row r="391" spans="1:10">
      <c r="A391" s="1" t="str">
        <f t="shared" si="44"/>
        <v>3d7.(4F).5p</v>
      </c>
      <c r="B391" t="str">
        <f>"5G*"</f>
        <v>5G*</v>
      </c>
      <c r="C391" t="str">
        <f>"3"</f>
        <v>3</v>
      </c>
      <c r="D391" t="str">
        <f>""</f>
        <v/>
      </c>
      <c r="E391" t="str">
        <f>"54134.655"</f>
        <v>54134.655</v>
      </c>
      <c r="F391" t="str">
        <f>""</f>
        <v/>
      </c>
      <c r="G391" t="str">
        <f>"0.002"</f>
        <v>0.002</v>
      </c>
      <c r="H391" t="str">
        <f>""</f>
        <v/>
      </c>
      <c r="I391" t="str">
        <f t="shared" si="43"/>
        <v xml:space="preserve">                                                     </v>
      </c>
      <c r="J391" t="str">
        <f>""</f>
        <v/>
      </c>
    </row>
    <row r="392" spans="1:10">
      <c r="A392" s="1" t="str">
        <f t="shared" si="44"/>
        <v>3d7.(4F).5p</v>
      </c>
      <c r="B392" t="str">
        <f>"5G*"</f>
        <v>5G*</v>
      </c>
      <c r="C392" t="str">
        <f>"2"</f>
        <v>2</v>
      </c>
      <c r="D392" t="str">
        <f>""</f>
        <v/>
      </c>
      <c r="E392" t="str">
        <f>"54257.679"</f>
        <v>54257.679</v>
      </c>
      <c r="F392" t="str">
        <f>""</f>
        <v/>
      </c>
      <c r="G392" t="str">
        <f>"0.002"</f>
        <v>0.002</v>
      </c>
      <c r="H392" t="str">
        <f>""</f>
        <v/>
      </c>
      <c r="I392" t="str">
        <f t="shared" si="43"/>
        <v xml:space="preserve">                                                     </v>
      </c>
      <c r="J392" t="str">
        <f>""</f>
        <v/>
      </c>
    </row>
    <row r="393" spans="1:10">
      <c r="A393" s="1" t="str">
        <f t="shared" si="44"/>
        <v>3d7.(4F).5p</v>
      </c>
      <c r="B393" t="str">
        <f>"5F*"</f>
        <v>5F*</v>
      </c>
      <c r="C393" t="str">
        <f>"5"</f>
        <v>5</v>
      </c>
      <c r="D393" t="str">
        <f>""</f>
        <v/>
      </c>
      <c r="E393" t="str">
        <f>"53084.789"</f>
        <v>53084.789</v>
      </c>
      <c r="F393" t="str">
        <f>""</f>
        <v/>
      </c>
      <c r="G393" t="str">
        <f>"0.001"</f>
        <v>0.001</v>
      </c>
      <c r="H393" t="str">
        <f>""</f>
        <v/>
      </c>
      <c r="I393" t="str">
        <f t="shared" si="43"/>
        <v xml:space="preserve">                                                     </v>
      </c>
      <c r="J393" t="str">
        <f>""</f>
        <v/>
      </c>
    </row>
    <row r="394" spans="1:10">
      <c r="A394" s="1" t="str">
        <f t="shared" si="44"/>
        <v>3d7.(4F).5p</v>
      </c>
      <c r="B394" t="str">
        <f>"5F*"</f>
        <v>5F*</v>
      </c>
      <c r="C394" t="str">
        <f>"4"</f>
        <v>4</v>
      </c>
      <c r="D394" t="str">
        <f>""</f>
        <v/>
      </c>
      <c r="E394" t="str">
        <f>"53388.637"</f>
        <v>53388.637</v>
      </c>
      <c r="F394" t="str">
        <f>""</f>
        <v/>
      </c>
      <c r="G394" t="str">
        <f>"0.001"</f>
        <v>0.001</v>
      </c>
      <c r="H394" t="str">
        <f>""</f>
        <v/>
      </c>
      <c r="I394" t="str">
        <f t="shared" si="43"/>
        <v xml:space="preserve">                                                     </v>
      </c>
      <c r="J394" t="str">
        <f>""</f>
        <v/>
      </c>
    </row>
    <row r="395" spans="1:10">
      <c r="A395" s="1" t="str">
        <f t="shared" si="44"/>
        <v>3d7.(4F).5p</v>
      </c>
      <c r="B395" t="str">
        <f>"5F*"</f>
        <v>5F*</v>
      </c>
      <c r="C395" t="str">
        <f>"3"</f>
        <v>3</v>
      </c>
      <c r="D395" t="str">
        <f>""</f>
        <v/>
      </c>
      <c r="E395" t="str">
        <f>"53661.079"</f>
        <v>53661.079</v>
      </c>
      <c r="F395" t="str">
        <f>""</f>
        <v/>
      </c>
      <c r="G395" t="str">
        <f>"0.001"</f>
        <v>0.001</v>
      </c>
      <c r="H395" t="str">
        <f>"1.21?"</f>
        <v>1.21?</v>
      </c>
      <c r="I395" t="str">
        <f t="shared" si="43"/>
        <v xml:space="preserve">                                                     </v>
      </c>
      <c r="J395" t="str">
        <f>""</f>
        <v/>
      </c>
    </row>
    <row r="396" spans="1:10">
      <c r="A396" s="1" t="str">
        <f t="shared" si="44"/>
        <v>3d7.(4F).5p</v>
      </c>
      <c r="B396" t="str">
        <f>"5F*"</f>
        <v>5F*</v>
      </c>
      <c r="C396" t="str">
        <f>"2"</f>
        <v>2</v>
      </c>
      <c r="D396" t="str">
        <f>""</f>
        <v/>
      </c>
      <c r="E396" t="str">
        <f>"54042.527"</f>
        <v>54042.527</v>
      </c>
      <c r="F396" t="str">
        <f>""</f>
        <v/>
      </c>
      <c r="G396" t="str">
        <f>"0.002"</f>
        <v>0.002</v>
      </c>
      <c r="H396" t="str">
        <f>""</f>
        <v/>
      </c>
      <c r="I396" t="str">
        <f t="shared" si="43"/>
        <v xml:space="preserve">                                                     </v>
      </c>
      <c r="J396" t="str">
        <f>""</f>
        <v/>
      </c>
    </row>
    <row r="397" spans="1:10">
      <c r="A397" s="1" t="str">
        <f t="shared" si="44"/>
        <v>3d7.(4F).5p</v>
      </c>
      <c r="B397" t="str">
        <f>"5F*"</f>
        <v>5F*</v>
      </c>
      <c r="C397" t="str">
        <f>"1"</f>
        <v>1</v>
      </c>
      <c r="D397" t="str">
        <f>""</f>
        <v/>
      </c>
      <c r="E397" t="str">
        <f>"54224.420"</f>
        <v>54224.420</v>
      </c>
      <c r="F397" t="str">
        <f>""</f>
        <v/>
      </c>
      <c r="G397" t="str">
        <f>"0.002"</f>
        <v>0.002</v>
      </c>
      <c r="H397" t="str">
        <f>""</f>
        <v/>
      </c>
      <c r="I397" t="str">
        <f t="shared" si="43"/>
        <v xml:space="preserve">                                                     </v>
      </c>
      <c r="J397" t="str">
        <f>""</f>
        <v/>
      </c>
    </row>
    <row r="398" spans="1:10">
      <c r="A398" s="1" t="str">
        <f>"3d7.(2H).4p"</f>
        <v>3d7.(2H).4p</v>
      </c>
      <c r="B398" t="str">
        <f>"1I*"</f>
        <v>1I*</v>
      </c>
      <c r="C398" t="str">
        <f>"6"</f>
        <v>6</v>
      </c>
      <c r="D398" t="str">
        <f>""</f>
        <v/>
      </c>
      <c r="E398" t="str">
        <f>"53093.529"</f>
        <v>53093.529</v>
      </c>
      <c r="F398" t="str">
        <f>""</f>
        <v/>
      </c>
      <c r="G398" t="str">
        <f>"0.002"</f>
        <v>0.002</v>
      </c>
      <c r="H398" t="str">
        <f>"1.010"</f>
        <v>1.010</v>
      </c>
      <c r="I398" t="str">
        <f>"  65             :    21  3d7.(2H).4p           3I*  "</f>
        <v xml:space="preserve">  65             :    21  3d7.(2H).4p           3I*  </v>
      </c>
      <c r="J398" t="str">
        <f>""</f>
        <v/>
      </c>
    </row>
    <row r="399" spans="1:10">
      <c r="A399" s="1" t="str">
        <f t="shared" ref="A399:A415" si="45">"3d7.(4F).4d"</f>
        <v>3d7.(4F).4d</v>
      </c>
      <c r="B399" t="str">
        <f>"h 5D"</f>
        <v>h 5D</v>
      </c>
      <c r="C399" t="str">
        <f>"4"</f>
        <v>4</v>
      </c>
      <c r="D399" t="str">
        <f>""</f>
        <v/>
      </c>
      <c r="E399" t="str">
        <f>"53155.145"</f>
        <v>53155.145</v>
      </c>
      <c r="F399" t="str">
        <f>""</f>
        <v/>
      </c>
      <c r="G399" t="str">
        <f t="shared" ref="G399:G410" si="46">"0.001"</f>
        <v>0.001</v>
      </c>
      <c r="H399" t="str">
        <f>"1.435"</f>
        <v>1.435</v>
      </c>
      <c r="I399" t="str">
        <f t="shared" ref="I399:I415" si="47">"                                                     "</f>
        <v xml:space="preserve">                                                     </v>
      </c>
      <c r="J399" t="str">
        <f>""</f>
        <v/>
      </c>
    </row>
    <row r="400" spans="1:10">
      <c r="A400" s="1" t="str">
        <f t="shared" si="45"/>
        <v>3d7.(4F).4d</v>
      </c>
      <c r="B400" t="str">
        <f>"h 5D"</f>
        <v>h 5D</v>
      </c>
      <c r="C400" t="str">
        <f>"3"</f>
        <v>3</v>
      </c>
      <c r="D400" t="str">
        <f>""</f>
        <v/>
      </c>
      <c r="E400" t="str">
        <f>"53545.833"</f>
        <v>53545.833</v>
      </c>
      <c r="F400" t="str">
        <f>""</f>
        <v/>
      </c>
      <c r="G400" t="str">
        <f t="shared" si="46"/>
        <v>0.001</v>
      </c>
      <c r="H400" t="str">
        <f>""</f>
        <v/>
      </c>
      <c r="I400" t="str">
        <f t="shared" si="47"/>
        <v xml:space="preserve">                                                     </v>
      </c>
      <c r="J400" t="str">
        <f>""</f>
        <v/>
      </c>
    </row>
    <row r="401" spans="1:10">
      <c r="A401" s="1" t="str">
        <f t="shared" si="45"/>
        <v>3d7.(4F).4d</v>
      </c>
      <c r="B401" t="str">
        <f>"h 5D"</f>
        <v>h 5D</v>
      </c>
      <c r="C401" t="str">
        <f>"2"</f>
        <v>2</v>
      </c>
      <c r="D401" t="str">
        <f>""</f>
        <v/>
      </c>
      <c r="E401" t="str">
        <f>"53966.662"</f>
        <v>53966.662</v>
      </c>
      <c r="F401" t="str">
        <f>""</f>
        <v/>
      </c>
      <c r="G401" t="str">
        <f t="shared" si="46"/>
        <v>0.001</v>
      </c>
      <c r="H401" t="str">
        <f>""</f>
        <v/>
      </c>
      <c r="I401" t="str">
        <f t="shared" si="47"/>
        <v xml:space="preserve">                                                     </v>
      </c>
      <c r="J401" t="str">
        <f>""</f>
        <v/>
      </c>
    </row>
    <row r="402" spans="1:10">
      <c r="A402" s="1" t="str">
        <f t="shared" si="45"/>
        <v>3d7.(4F).4d</v>
      </c>
      <c r="B402" t="str">
        <f>"h 5D"</f>
        <v>h 5D</v>
      </c>
      <c r="C402" t="str">
        <f>"1"</f>
        <v>1</v>
      </c>
      <c r="D402" t="str">
        <f>""</f>
        <v/>
      </c>
      <c r="E402" t="str">
        <f>"54132.551"</f>
        <v>54132.551</v>
      </c>
      <c r="F402" t="str">
        <f>""</f>
        <v/>
      </c>
      <c r="G402" t="str">
        <f t="shared" si="46"/>
        <v>0.001</v>
      </c>
      <c r="H402" t="str">
        <f>""</f>
        <v/>
      </c>
      <c r="I402" t="str">
        <f t="shared" si="47"/>
        <v xml:space="preserve">                                                     </v>
      </c>
      <c r="J402" t="str">
        <f>""</f>
        <v/>
      </c>
    </row>
    <row r="403" spans="1:10">
      <c r="A403" s="1" t="str">
        <f t="shared" si="45"/>
        <v>3d7.(4F).4d</v>
      </c>
      <c r="B403" t="str">
        <f>"f 5P"</f>
        <v>f 5P</v>
      </c>
      <c r="C403" t="str">
        <f>"3"</f>
        <v>3</v>
      </c>
      <c r="D403" t="str">
        <f>""</f>
        <v/>
      </c>
      <c r="E403" t="str">
        <f>"53160.593"</f>
        <v>53160.593</v>
      </c>
      <c r="F403" t="str">
        <f>""</f>
        <v/>
      </c>
      <c r="G403" t="str">
        <f t="shared" si="46"/>
        <v>0.001</v>
      </c>
      <c r="H403" t="str">
        <f>""</f>
        <v/>
      </c>
      <c r="I403" t="str">
        <f t="shared" si="47"/>
        <v xml:space="preserve">                                                     </v>
      </c>
      <c r="J403" t="str">
        <f>""</f>
        <v/>
      </c>
    </row>
    <row r="404" spans="1:10">
      <c r="A404" s="1" t="str">
        <f t="shared" si="45"/>
        <v>3d7.(4F).4d</v>
      </c>
      <c r="B404" t="str">
        <f>"f 5P"</f>
        <v>f 5P</v>
      </c>
      <c r="C404" t="str">
        <f>"2"</f>
        <v>2</v>
      </c>
      <c r="D404" t="str">
        <f>""</f>
        <v/>
      </c>
      <c r="E404" t="str">
        <f>"53568.751"</f>
        <v>53568.751</v>
      </c>
      <c r="F404" t="str">
        <f>""</f>
        <v/>
      </c>
      <c r="G404" t="str">
        <f t="shared" si="46"/>
        <v>0.001</v>
      </c>
      <c r="H404" t="str">
        <f>""</f>
        <v/>
      </c>
      <c r="I404" t="str">
        <f t="shared" si="47"/>
        <v xml:space="preserve">                                                     </v>
      </c>
      <c r="J404" t="str">
        <f>""</f>
        <v/>
      </c>
    </row>
    <row r="405" spans="1:10">
      <c r="A405" s="1" t="str">
        <f t="shared" si="45"/>
        <v>3d7.(4F).4d</v>
      </c>
      <c r="B405" t="str">
        <f>"f 5P"</f>
        <v>f 5P</v>
      </c>
      <c r="C405" t="str">
        <f>"1"</f>
        <v>1</v>
      </c>
      <c r="D405" t="str">
        <f>""</f>
        <v/>
      </c>
      <c r="E405" t="str">
        <f>"53925.200"</f>
        <v>53925.200</v>
      </c>
      <c r="F405" t="str">
        <f>""</f>
        <v/>
      </c>
      <c r="G405" t="str">
        <f t="shared" si="46"/>
        <v>0.001</v>
      </c>
      <c r="H405" t="str">
        <f>""</f>
        <v/>
      </c>
      <c r="I405" t="str">
        <f t="shared" si="47"/>
        <v xml:space="preserve">                                                     </v>
      </c>
      <c r="J405" t="str">
        <f>""</f>
        <v/>
      </c>
    </row>
    <row r="406" spans="1:10">
      <c r="A406" s="1" t="str">
        <f t="shared" si="45"/>
        <v>3d7.(4F).4d</v>
      </c>
      <c r="B406" t="str">
        <f>"f 5G"</f>
        <v>f 5G</v>
      </c>
      <c r="C406" t="str">
        <f>"6"</f>
        <v>6</v>
      </c>
      <c r="D406" t="str">
        <f>""</f>
        <v/>
      </c>
      <c r="E406" t="str">
        <f>"53169.146"</f>
        <v>53169.146</v>
      </c>
      <c r="F406" t="str">
        <f>""</f>
        <v/>
      </c>
      <c r="G406" t="str">
        <f t="shared" si="46"/>
        <v>0.001</v>
      </c>
      <c r="H406" t="str">
        <f>"1.323"</f>
        <v>1.323</v>
      </c>
      <c r="I406" t="str">
        <f t="shared" si="47"/>
        <v xml:space="preserve">                                                     </v>
      </c>
      <c r="J406" t="str">
        <f>""</f>
        <v/>
      </c>
    </row>
    <row r="407" spans="1:10">
      <c r="A407" s="1" t="str">
        <f t="shared" si="45"/>
        <v>3d7.(4F).4d</v>
      </c>
      <c r="B407" t="str">
        <f>"f 5G"</f>
        <v>f 5G</v>
      </c>
      <c r="C407" t="str">
        <f>"5"</f>
        <v>5</v>
      </c>
      <c r="D407" t="str">
        <f>""</f>
        <v/>
      </c>
      <c r="E407" t="str">
        <f>"53281.689"</f>
        <v>53281.689</v>
      </c>
      <c r="F407" t="str">
        <f>""</f>
        <v/>
      </c>
      <c r="G407" t="str">
        <f t="shared" si="46"/>
        <v>0.001</v>
      </c>
      <c r="H407" t="str">
        <f>"1.221"</f>
        <v>1.221</v>
      </c>
      <c r="I407" t="str">
        <f t="shared" si="47"/>
        <v xml:space="preserve">                                                     </v>
      </c>
      <c r="J407" t="str">
        <f>""</f>
        <v/>
      </c>
    </row>
    <row r="408" spans="1:10">
      <c r="A408" s="1" t="str">
        <f t="shared" si="45"/>
        <v>3d7.(4F).4d</v>
      </c>
      <c r="B408" t="str">
        <f>"f 5G"</f>
        <v>f 5G</v>
      </c>
      <c r="C408" t="str">
        <f>"4"</f>
        <v>4</v>
      </c>
      <c r="D408" t="str">
        <f>""</f>
        <v/>
      </c>
      <c r="E408" t="str">
        <f>"53768.979"</f>
        <v>53768.979</v>
      </c>
      <c r="F408" t="str">
        <f>""</f>
        <v/>
      </c>
      <c r="G408" t="str">
        <f t="shared" si="46"/>
        <v>0.001</v>
      </c>
      <c r="H408" t="str">
        <f>""</f>
        <v/>
      </c>
      <c r="I408" t="str">
        <f t="shared" si="47"/>
        <v xml:space="preserve">                                                     </v>
      </c>
      <c r="J408" t="str">
        <f>""</f>
        <v/>
      </c>
    </row>
    <row r="409" spans="1:10">
      <c r="A409" s="1" t="str">
        <f t="shared" si="45"/>
        <v>3d7.(4F).4d</v>
      </c>
      <c r="B409" t="str">
        <f>"f 5G"</f>
        <v>f 5G</v>
      </c>
      <c r="C409" t="str">
        <f>"3"</f>
        <v>3</v>
      </c>
      <c r="D409" t="str">
        <f>""</f>
        <v/>
      </c>
      <c r="E409" t="str">
        <f>"54161.139"</f>
        <v>54161.139</v>
      </c>
      <c r="F409" t="str">
        <f>""</f>
        <v/>
      </c>
      <c r="G409" t="str">
        <f t="shared" si="46"/>
        <v>0.001</v>
      </c>
      <c r="H409" t="str">
        <f>"1.142"</f>
        <v>1.142</v>
      </c>
      <c r="I409" t="str">
        <f t="shared" si="47"/>
        <v xml:space="preserve">                                                     </v>
      </c>
      <c r="J409" t="str">
        <f>""</f>
        <v/>
      </c>
    </row>
    <row r="410" spans="1:10">
      <c r="A410" s="1" t="str">
        <f t="shared" si="45"/>
        <v>3d7.(4F).4d</v>
      </c>
      <c r="B410" t="str">
        <f>"f 5G"</f>
        <v>f 5G</v>
      </c>
      <c r="C410" t="str">
        <f>"2"</f>
        <v>2</v>
      </c>
      <c r="D410" t="str">
        <f>""</f>
        <v/>
      </c>
      <c r="E410" t="str">
        <f>"54375.677"</f>
        <v>54375.677</v>
      </c>
      <c r="F410" t="str">
        <f>""</f>
        <v/>
      </c>
      <c r="G410" t="str">
        <f t="shared" si="46"/>
        <v>0.001</v>
      </c>
      <c r="H410" t="str">
        <f>""</f>
        <v/>
      </c>
      <c r="I410" t="str">
        <f t="shared" si="47"/>
        <v xml:space="preserve">                                                     </v>
      </c>
      <c r="J410" t="str">
        <f>""</f>
        <v/>
      </c>
    </row>
    <row r="411" spans="1:10">
      <c r="A411" s="1" t="str">
        <f t="shared" si="45"/>
        <v>3d7.(4F).4d</v>
      </c>
      <c r="B411" t="str">
        <f>"e 5H"</f>
        <v>e 5H</v>
      </c>
      <c r="C411" t="str">
        <f>"7"</f>
        <v>7</v>
      </c>
      <c r="D411" t="str">
        <f>""</f>
        <v/>
      </c>
      <c r="E411" t="str">
        <f>"53275.183"</f>
        <v>53275.183</v>
      </c>
      <c r="F411" t="str">
        <f>""</f>
        <v/>
      </c>
      <c r="G411" t="str">
        <f>"0.002"</f>
        <v>0.002</v>
      </c>
      <c r="H411" t="str">
        <f>"1.30?"</f>
        <v>1.30?</v>
      </c>
      <c r="I411" t="str">
        <f t="shared" si="47"/>
        <v xml:space="preserve">                                                     </v>
      </c>
      <c r="J411" t="str">
        <f>""</f>
        <v/>
      </c>
    </row>
    <row r="412" spans="1:10">
      <c r="A412" s="1" t="str">
        <f t="shared" si="45"/>
        <v>3d7.(4F).4d</v>
      </c>
      <c r="B412" t="str">
        <f>"e 5H"</f>
        <v>e 5H</v>
      </c>
      <c r="C412" t="str">
        <f>"6"</f>
        <v>6</v>
      </c>
      <c r="D412" t="str">
        <f>""</f>
        <v/>
      </c>
      <c r="E412" t="str">
        <f>"53352.989"</f>
        <v>53352.989</v>
      </c>
      <c r="F412" t="str">
        <f>""</f>
        <v/>
      </c>
      <c r="G412" t="str">
        <f>"0.001"</f>
        <v>0.001</v>
      </c>
      <c r="H412" t="str">
        <f>"1.191"</f>
        <v>1.191</v>
      </c>
      <c r="I412" t="str">
        <f t="shared" si="47"/>
        <v xml:space="preserve">                                                     </v>
      </c>
      <c r="J412" t="str">
        <f>""</f>
        <v/>
      </c>
    </row>
    <row r="413" spans="1:10">
      <c r="A413" s="1" t="str">
        <f t="shared" si="45"/>
        <v>3d7.(4F).4d</v>
      </c>
      <c r="B413" t="str">
        <f>"e 5H"</f>
        <v>e 5H</v>
      </c>
      <c r="C413" t="str">
        <f>"5"</f>
        <v>5</v>
      </c>
      <c r="D413" t="str">
        <f>""</f>
        <v/>
      </c>
      <c r="E413" t="str">
        <f>"53874.257"</f>
        <v>53874.257</v>
      </c>
      <c r="F413" t="str">
        <f>""</f>
        <v/>
      </c>
      <c r="G413" t="str">
        <f>"0.001"</f>
        <v>0.001</v>
      </c>
      <c r="H413" t="str">
        <f>"1.102"</f>
        <v>1.102</v>
      </c>
      <c r="I413" t="str">
        <f t="shared" si="47"/>
        <v xml:space="preserve">                                                     </v>
      </c>
      <c r="J413" t="str">
        <f>""</f>
        <v/>
      </c>
    </row>
    <row r="414" spans="1:10">
      <c r="A414" s="1" t="str">
        <f t="shared" si="45"/>
        <v>3d7.(4F).4d</v>
      </c>
      <c r="B414" t="str">
        <f>"e 5H"</f>
        <v>e 5H</v>
      </c>
      <c r="C414" t="str">
        <f>"4"</f>
        <v>4</v>
      </c>
      <c r="D414" t="str">
        <f>""</f>
        <v/>
      </c>
      <c r="E414" t="str">
        <f>"54237.213"</f>
        <v>54237.213</v>
      </c>
      <c r="F414" t="str">
        <f>""</f>
        <v/>
      </c>
      <c r="G414" t="str">
        <f>"0.002"</f>
        <v>0.002</v>
      </c>
      <c r="H414" t="str">
        <f>"0.90?"</f>
        <v>0.90?</v>
      </c>
      <c r="I414" t="str">
        <f t="shared" si="47"/>
        <v xml:space="preserve">                                                     </v>
      </c>
      <c r="J414" t="str">
        <f>""</f>
        <v/>
      </c>
    </row>
    <row r="415" spans="1:10">
      <c r="A415" s="1" t="str">
        <f t="shared" si="45"/>
        <v>3d7.(4F).4d</v>
      </c>
      <c r="B415" t="str">
        <f>"e 5H"</f>
        <v>e 5H</v>
      </c>
      <c r="C415" t="str">
        <f>"3"</f>
        <v>3</v>
      </c>
      <c r="D415" t="str">
        <f>""</f>
        <v/>
      </c>
      <c r="E415" t="str">
        <f>"54490.999"</f>
        <v>54490.999</v>
      </c>
      <c r="F415" t="str">
        <f>""</f>
        <v/>
      </c>
      <c r="G415" t="str">
        <f>"0.001"</f>
        <v>0.001</v>
      </c>
      <c r="H415" t="str">
        <f>"0.484"</f>
        <v>0.484</v>
      </c>
      <c r="I415" t="str">
        <f t="shared" si="47"/>
        <v xml:space="preserve">                                                     </v>
      </c>
      <c r="J415" t="str">
        <f>""</f>
        <v/>
      </c>
    </row>
    <row r="416" spans="1:10">
      <c r="A416" s="1" t="str">
        <f>"3d6.(3G).4s.4p.(3P*)"</f>
        <v>3d6.(3G).4s.4p.(3P*)</v>
      </c>
      <c r="B416" t="str">
        <f>"y 1H*"</f>
        <v>y 1H*</v>
      </c>
      <c r="C416" t="str">
        <f>"5"</f>
        <v>5</v>
      </c>
      <c r="D416" t="str">
        <f>""</f>
        <v/>
      </c>
      <c r="E416" t="str">
        <f>"53313.438"</f>
        <v>53313.438</v>
      </c>
      <c r="F416" t="str">
        <f>""</f>
        <v/>
      </c>
      <c r="G416" t="str">
        <f>"0.003"</f>
        <v>0.003</v>
      </c>
      <c r="H416" t="str">
        <f>"1.03?"</f>
        <v>1.03?</v>
      </c>
      <c r="I416" t="str">
        <f>"  77             :    15  3d6.(3H).4s.4p.(3P*)  1H*  "</f>
        <v xml:space="preserve">  77             :    15  3d6.(3H).4s.4p.(3P*)  1H*  </v>
      </c>
      <c r="J416" t="str">
        <f>""</f>
        <v/>
      </c>
    </row>
    <row r="417" spans="1:10">
      <c r="A417" s="1" t="str">
        <f t="shared" ref="A417:A423" si="48">"3d7.(4F).5p"</f>
        <v>3d7.(4F).5p</v>
      </c>
      <c r="B417" t="str">
        <f>"3F*"</f>
        <v>3F*</v>
      </c>
      <c r="C417" t="str">
        <f>"4"</f>
        <v>4</v>
      </c>
      <c r="D417" t="str">
        <f>""</f>
        <v/>
      </c>
      <c r="E417" t="str">
        <f>"53328.835"</f>
        <v>53328.835</v>
      </c>
      <c r="F417" t="str">
        <f>""</f>
        <v/>
      </c>
      <c r="G417" t="str">
        <f>"0.001"</f>
        <v>0.001</v>
      </c>
      <c r="H417" t="str">
        <f>""</f>
        <v/>
      </c>
      <c r="I417" t="str">
        <f t="shared" ref="I417:I424" si="49">"                                                     "</f>
        <v xml:space="preserve">                                                     </v>
      </c>
      <c r="J417" t="str">
        <f>""</f>
        <v/>
      </c>
    </row>
    <row r="418" spans="1:10">
      <c r="A418" s="1" t="str">
        <f t="shared" si="48"/>
        <v>3d7.(4F).5p</v>
      </c>
      <c r="B418" t="str">
        <f>"3F*"</f>
        <v>3F*</v>
      </c>
      <c r="C418" t="str">
        <f>"3"</f>
        <v>3</v>
      </c>
      <c r="D418" t="str">
        <f>""</f>
        <v/>
      </c>
      <c r="E418" t="str">
        <f>"54289.034"</f>
        <v>54289.034</v>
      </c>
      <c r="F418" t="str">
        <f>""</f>
        <v/>
      </c>
      <c r="G418" t="str">
        <f>"0.001"</f>
        <v>0.001</v>
      </c>
      <c r="H418" t="str">
        <f>""</f>
        <v/>
      </c>
      <c r="I418" t="str">
        <f t="shared" si="49"/>
        <v xml:space="preserve">                                                     </v>
      </c>
      <c r="J418" t="str">
        <f>""</f>
        <v/>
      </c>
    </row>
    <row r="419" spans="1:10">
      <c r="A419" s="1" t="str">
        <f t="shared" si="48"/>
        <v>3d7.(4F).5p</v>
      </c>
      <c r="B419" t="str">
        <f>"3F*"</f>
        <v>3F*</v>
      </c>
      <c r="C419" t="str">
        <f>"2"</f>
        <v>2</v>
      </c>
      <c r="D419" t="str">
        <f>""</f>
        <v/>
      </c>
      <c r="E419" t="str">
        <f>"54706.387"</f>
        <v>54706.387</v>
      </c>
      <c r="F419" t="str">
        <f>""</f>
        <v/>
      </c>
      <c r="G419" t="str">
        <f>"0.002"</f>
        <v>0.002</v>
      </c>
      <c r="H419" t="str">
        <f>""</f>
        <v/>
      </c>
      <c r="I419" t="str">
        <f t="shared" si="49"/>
        <v xml:space="preserve">                                                     </v>
      </c>
      <c r="J419" t="str">
        <f>""</f>
        <v/>
      </c>
    </row>
    <row r="420" spans="1:10">
      <c r="A420" s="1" t="str">
        <f t="shared" si="48"/>
        <v>3d7.(4F).5p</v>
      </c>
      <c r="B420" t="str">
        <f>"5D*"</f>
        <v>5D*</v>
      </c>
      <c r="C420" t="str">
        <f>"4"</f>
        <v>4</v>
      </c>
      <c r="D420" t="str">
        <f>""</f>
        <v/>
      </c>
      <c r="E420" t="str">
        <f>"53610.412"</f>
        <v>53610.412</v>
      </c>
      <c r="F420" t="str">
        <f>""</f>
        <v/>
      </c>
      <c r="G420" t="str">
        <f>"0.001"</f>
        <v>0.001</v>
      </c>
      <c r="H420" t="str">
        <f>""</f>
        <v/>
      </c>
      <c r="I420" t="str">
        <f t="shared" si="49"/>
        <v xml:space="preserve">                                                     </v>
      </c>
      <c r="J420" t="str">
        <f>""</f>
        <v/>
      </c>
    </row>
    <row r="421" spans="1:10">
      <c r="A421" s="1" t="str">
        <f t="shared" si="48"/>
        <v>3d7.(4F).5p</v>
      </c>
      <c r="B421" t="str">
        <f>"5D*"</f>
        <v>5D*</v>
      </c>
      <c r="C421" t="str">
        <f>"3"</f>
        <v>3</v>
      </c>
      <c r="D421" t="str">
        <f>""</f>
        <v/>
      </c>
      <c r="E421" t="str">
        <f>"53784.750"</f>
        <v>53784.750</v>
      </c>
      <c r="F421" t="str">
        <f>""</f>
        <v/>
      </c>
      <c r="G421" t="str">
        <f>"0.002"</f>
        <v>0.002</v>
      </c>
      <c r="H421" t="str">
        <f>""</f>
        <v/>
      </c>
      <c r="I421" t="str">
        <f t="shared" si="49"/>
        <v xml:space="preserve">                                                     </v>
      </c>
      <c r="J421" t="str">
        <f>""</f>
        <v/>
      </c>
    </row>
    <row r="422" spans="1:10">
      <c r="A422" s="1" t="str">
        <f t="shared" si="48"/>
        <v>3d7.(4F).5p</v>
      </c>
      <c r="B422" t="str">
        <f>"5D*"</f>
        <v>5D*</v>
      </c>
      <c r="C422" t="str">
        <f>"2"</f>
        <v>2</v>
      </c>
      <c r="D422" t="str">
        <f>""</f>
        <v/>
      </c>
      <c r="E422" t="str">
        <f>"54530.653"</f>
        <v>54530.653</v>
      </c>
      <c r="F422" t="str">
        <f>""</f>
        <v/>
      </c>
      <c r="G422" t="str">
        <f>"0.002"</f>
        <v>0.002</v>
      </c>
      <c r="H422" t="str">
        <f>""</f>
        <v/>
      </c>
      <c r="I422" t="str">
        <f t="shared" si="49"/>
        <v xml:space="preserve">                                                     </v>
      </c>
      <c r="J422" t="str">
        <f>""</f>
        <v/>
      </c>
    </row>
    <row r="423" spans="1:10">
      <c r="A423" s="1" t="str">
        <f t="shared" si="48"/>
        <v>3d7.(4F).5p</v>
      </c>
      <c r="B423" t="str">
        <f>"5D*"</f>
        <v>5D*</v>
      </c>
      <c r="C423" t="str">
        <f>"1"</f>
        <v>1</v>
      </c>
      <c r="D423" t="str">
        <f>""</f>
        <v/>
      </c>
      <c r="E423" t="str">
        <f>"54603.140"</f>
        <v>54603.140</v>
      </c>
      <c r="F423" t="str">
        <f>""</f>
        <v/>
      </c>
      <c r="G423" t="str">
        <f>"0.001"</f>
        <v>0.001</v>
      </c>
      <c r="H423" t="str">
        <f>""</f>
        <v/>
      </c>
      <c r="I423" t="str">
        <f t="shared" si="49"/>
        <v xml:space="preserve">                                                     </v>
      </c>
      <c r="J423" t="str">
        <f>""</f>
        <v/>
      </c>
    </row>
    <row r="424" spans="1:10">
      <c r="A424" s="1" t="str">
        <f>"3d6.(3D).4s.4p.(3P*)"</f>
        <v>3d6.(3D).4s.4p.(3P*)</v>
      </c>
      <c r="B424" t="str">
        <f>"5F*"</f>
        <v>5F*</v>
      </c>
      <c r="C424" t="str">
        <f>"1"</f>
        <v>1</v>
      </c>
      <c r="D424" t="str">
        <f>""</f>
        <v/>
      </c>
      <c r="E424" t="str">
        <f>"53696.867"</f>
        <v>53696.867</v>
      </c>
      <c r="F424" t="str">
        <f>""</f>
        <v/>
      </c>
      <c r="G424" t="str">
        <f>"0.004"</f>
        <v>0.004</v>
      </c>
      <c r="H424" t="str">
        <f>""</f>
        <v/>
      </c>
      <c r="I424" t="str">
        <f t="shared" si="49"/>
        <v xml:space="preserve">                                                     </v>
      </c>
      <c r="J424" t="str">
        <f>""</f>
        <v/>
      </c>
    </row>
    <row r="425" spans="1:10">
      <c r="A425" s="1" t="str">
        <f>"3d6.(3D).4s.4p.(3P*)"</f>
        <v>3d6.(3D).4s.4p.(3P*)</v>
      </c>
      <c r="B425" t="str">
        <f>"5F*"</f>
        <v>5F*</v>
      </c>
      <c r="C425" t="str">
        <f>"2"</f>
        <v>2</v>
      </c>
      <c r="D425" t="str">
        <f>""</f>
        <v/>
      </c>
      <c r="E425" t="str">
        <f>"53723.079"</f>
        <v>53723.079</v>
      </c>
      <c r="F425" t="str">
        <f>""</f>
        <v/>
      </c>
      <c r="G425" t="str">
        <f>"0.002"</f>
        <v>0.002</v>
      </c>
      <c r="H425" t="str">
        <f>""</f>
        <v/>
      </c>
      <c r="I425" t="str">
        <f>"  84             :    11  3d6.(3G).4s.4p.(3P*)  5F*  "</f>
        <v xml:space="preserve">  84             :    11  3d6.(3G).4s.4p.(3P*)  5F*  </v>
      </c>
      <c r="J425" t="str">
        <f>""</f>
        <v/>
      </c>
    </row>
    <row r="426" spans="1:10">
      <c r="A426" s="1" t="str">
        <f>"3d6.(3D).4s.4p.(3P*)"</f>
        <v>3d6.(3D).4s.4p.(3P*)</v>
      </c>
      <c r="B426" t="str">
        <f>"5F*"</f>
        <v>5F*</v>
      </c>
      <c r="C426" t="str">
        <f>"3"</f>
        <v>3</v>
      </c>
      <c r="D426" t="str">
        <f>""</f>
        <v/>
      </c>
      <c r="E426" t="str">
        <f>"53733.594"</f>
        <v>53733.594</v>
      </c>
      <c r="F426" t="str">
        <f>""</f>
        <v/>
      </c>
      <c r="G426" t="str">
        <f>"0.002"</f>
        <v>0.002</v>
      </c>
      <c r="H426" t="str">
        <f>""</f>
        <v/>
      </c>
      <c r="I426" t="str">
        <f>"  84             :    10  3d6.(3G).4s.4p.(3P*)  5F*  "</f>
        <v xml:space="preserve">  84             :    10  3d6.(3G).4s.4p.(3P*)  5F*  </v>
      </c>
      <c r="J426" t="str">
        <f>""</f>
        <v/>
      </c>
    </row>
    <row r="427" spans="1:10">
      <c r="A427" s="1" t="str">
        <f>"3d6.(3D).4s.4p.(3P*)"</f>
        <v>3d6.(3D).4s.4p.(3P*)</v>
      </c>
      <c r="B427" t="str">
        <f>"5F*"</f>
        <v>5F*</v>
      </c>
      <c r="C427" t="str">
        <f>"4"</f>
        <v>4</v>
      </c>
      <c r="D427" t="str">
        <f>""</f>
        <v/>
      </c>
      <c r="E427" t="str">
        <f>"53881.806"</f>
        <v>53881.806</v>
      </c>
      <c r="F427" t="str">
        <f>""</f>
        <v/>
      </c>
      <c r="G427" t="str">
        <f>"0.002"</f>
        <v>0.002</v>
      </c>
      <c r="H427" t="str">
        <f>""</f>
        <v/>
      </c>
      <c r="I427" t="str">
        <f>"                                                     "</f>
        <v xml:space="preserve">                                                     </v>
      </c>
      <c r="J427" t="str">
        <f>""</f>
        <v/>
      </c>
    </row>
    <row r="428" spans="1:10">
      <c r="A428" s="1" t="str">
        <f>"3d6.(3D).4s.4p.(3P*)"</f>
        <v>3d6.(3D).4s.4p.(3P*)</v>
      </c>
      <c r="B428" t="str">
        <f>"5F*"</f>
        <v>5F*</v>
      </c>
      <c r="C428" t="str">
        <f>"5"</f>
        <v>5</v>
      </c>
      <c r="D428" t="str">
        <f>""</f>
        <v/>
      </c>
      <c r="E428" t="str">
        <f>"54013.752"</f>
        <v>54013.752</v>
      </c>
      <c r="F428" t="str">
        <f>""</f>
        <v/>
      </c>
      <c r="G428" t="str">
        <f>"0.002"</f>
        <v>0.002</v>
      </c>
      <c r="H428" t="str">
        <f>"1.356"</f>
        <v>1.356</v>
      </c>
      <c r="I428" t="str">
        <f>"  88             :     8  3d6.(3G).4s.4p.(3P*)  5F*  "</f>
        <v xml:space="preserve">  88             :     8  3d6.(3G).4s.4p.(3P*)  5F*  </v>
      </c>
      <c r="J428" t="str">
        <f>""</f>
        <v/>
      </c>
    </row>
    <row r="429" spans="1:10">
      <c r="A429" s="1" t="str">
        <f t="shared" ref="A429:A434" si="50">"3d7.(4F).4d"</f>
        <v>3d7.(4F).4d</v>
      </c>
      <c r="B429" t="str">
        <f>"e 3G"</f>
        <v>e 3G</v>
      </c>
      <c r="C429" t="str">
        <f>"5"</f>
        <v>5</v>
      </c>
      <c r="D429" t="str">
        <f>""</f>
        <v/>
      </c>
      <c r="E429" t="str">
        <f>"53739.438"</f>
        <v>53739.438</v>
      </c>
      <c r="F429" t="str">
        <f>""</f>
        <v/>
      </c>
      <c r="G429" t="str">
        <f t="shared" ref="G429:G434" si="51">"0.001"</f>
        <v>0.001</v>
      </c>
      <c r="H429" t="str">
        <f>"1.248"</f>
        <v>1.248</v>
      </c>
      <c r="I429" t="str">
        <f t="shared" ref="I429:I434" si="52">"                                                     "</f>
        <v xml:space="preserve">                                                     </v>
      </c>
      <c r="J429" t="str">
        <f>""</f>
        <v/>
      </c>
    </row>
    <row r="430" spans="1:10">
      <c r="A430" s="1" t="str">
        <f t="shared" si="50"/>
        <v>3d7.(4F).4d</v>
      </c>
      <c r="B430" t="str">
        <f>"e 3G"</f>
        <v>e 3G</v>
      </c>
      <c r="C430" t="str">
        <f>"4"</f>
        <v>4</v>
      </c>
      <c r="D430" t="str">
        <f>""</f>
        <v/>
      </c>
      <c r="E430" t="str">
        <f>"54066.518"</f>
        <v>54066.518</v>
      </c>
      <c r="F430" t="str">
        <f>""</f>
        <v/>
      </c>
      <c r="G430" t="str">
        <f t="shared" si="51"/>
        <v>0.001</v>
      </c>
      <c r="H430" t="str">
        <f>"1.096"</f>
        <v>1.096</v>
      </c>
      <c r="I430" t="str">
        <f t="shared" si="52"/>
        <v xml:space="preserve">                                                     </v>
      </c>
      <c r="J430" t="str">
        <f>""</f>
        <v/>
      </c>
    </row>
    <row r="431" spans="1:10">
      <c r="A431" s="1" t="str">
        <f t="shared" si="50"/>
        <v>3d7.(4F).4d</v>
      </c>
      <c r="B431" t="str">
        <f>"e 3G"</f>
        <v>e 3G</v>
      </c>
      <c r="C431" t="str">
        <f>"3"</f>
        <v>3</v>
      </c>
      <c r="D431" t="str">
        <f>""</f>
        <v/>
      </c>
      <c r="E431" t="str">
        <f>"54379.384"</f>
        <v>54379.384</v>
      </c>
      <c r="F431" t="str">
        <f>""</f>
        <v/>
      </c>
      <c r="G431" t="str">
        <f t="shared" si="51"/>
        <v>0.001</v>
      </c>
      <c r="H431" t="str">
        <f>"0.842"</f>
        <v>0.842</v>
      </c>
      <c r="I431" t="str">
        <f t="shared" si="52"/>
        <v xml:space="preserve">                                                     </v>
      </c>
      <c r="J431" t="str">
        <f>""</f>
        <v/>
      </c>
    </row>
    <row r="432" spans="1:10">
      <c r="A432" s="1" t="str">
        <f t="shared" si="50"/>
        <v>3d7.(4F).4d</v>
      </c>
      <c r="B432" t="str">
        <f>"f 3D"</f>
        <v>f 3D</v>
      </c>
      <c r="C432" t="str">
        <f>"3"</f>
        <v>3</v>
      </c>
      <c r="D432" t="str">
        <f>""</f>
        <v/>
      </c>
      <c r="E432" t="str">
        <f>"53747.500"</f>
        <v>53747.500</v>
      </c>
      <c r="F432" t="str">
        <f>""</f>
        <v/>
      </c>
      <c r="G432" t="str">
        <f t="shared" si="51"/>
        <v>0.001</v>
      </c>
      <c r="H432" t="str">
        <f>"1.258"</f>
        <v>1.258</v>
      </c>
      <c r="I432" t="str">
        <f t="shared" si="52"/>
        <v xml:space="preserve">                                                     </v>
      </c>
      <c r="J432" t="str">
        <f>""</f>
        <v/>
      </c>
    </row>
    <row r="433" spans="1:10">
      <c r="A433" s="1" t="str">
        <f t="shared" si="50"/>
        <v>3d7.(4F).4d</v>
      </c>
      <c r="B433" t="str">
        <f>"f 3D"</f>
        <v>f 3D</v>
      </c>
      <c r="C433" t="str">
        <f>"2"</f>
        <v>2</v>
      </c>
      <c r="D433" t="str">
        <f>""</f>
        <v/>
      </c>
      <c r="E433" t="str">
        <f>"54066.773"</f>
        <v>54066.773</v>
      </c>
      <c r="F433" t="str">
        <f>""</f>
        <v/>
      </c>
      <c r="G433" t="str">
        <f t="shared" si="51"/>
        <v>0.001</v>
      </c>
      <c r="H433" t="str">
        <f>""</f>
        <v/>
      </c>
      <c r="I433" t="str">
        <f t="shared" si="52"/>
        <v xml:space="preserve">                                                     </v>
      </c>
      <c r="J433" t="str">
        <f>""</f>
        <v/>
      </c>
    </row>
    <row r="434" spans="1:10">
      <c r="A434" s="1" t="str">
        <f t="shared" si="50"/>
        <v>3d7.(4F).4d</v>
      </c>
      <c r="B434" t="str">
        <f>"f 3D"</f>
        <v>f 3D</v>
      </c>
      <c r="C434" t="str">
        <f>"1"</f>
        <v>1</v>
      </c>
      <c r="D434" t="str">
        <f>""</f>
        <v/>
      </c>
      <c r="E434" t="str">
        <f>"54449.347"</f>
        <v>54449.347</v>
      </c>
      <c r="F434" t="str">
        <f>""</f>
        <v/>
      </c>
      <c r="G434" t="str">
        <f t="shared" si="51"/>
        <v>0.001</v>
      </c>
      <c r="H434" t="str">
        <f>""</f>
        <v/>
      </c>
      <c r="I434" t="str">
        <f t="shared" si="52"/>
        <v xml:space="preserve">                                                     </v>
      </c>
      <c r="J434" t="str">
        <f>""</f>
        <v/>
      </c>
    </row>
    <row r="435" spans="1:10">
      <c r="A435" s="1" t="str">
        <f>"3d7.(2D2).4p"</f>
        <v>3d7.(2D2).4p</v>
      </c>
      <c r="B435" t="str">
        <f>"x 1F*"</f>
        <v>x 1F*</v>
      </c>
      <c r="C435" t="str">
        <f>"3"</f>
        <v>3</v>
      </c>
      <c r="D435" t="str">
        <f>""</f>
        <v/>
      </c>
      <c r="E435" t="str">
        <f>"53763.280"</f>
        <v>53763.280</v>
      </c>
      <c r="F435" t="str">
        <f>""</f>
        <v/>
      </c>
      <c r="G435" t="str">
        <f>"0.002"</f>
        <v>0.002</v>
      </c>
      <c r="H435" t="str">
        <f>"1.079"</f>
        <v>1.079</v>
      </c>
      <c r="I435" t="str">
        <f>"  30             :    13  3d7.(2G).4p           1F*  "</f>
        <v xml:space="preserve">  30             :    13  3d7.(2G).4p           1F*  </v>
      </c>
      <c r="J435" t="str">
        <f>""</f>
        <v/>
      </c>
    </row>
    <row r="436" spans="1:10">
      <c r="A436" s="1" t="str">
        <f>"3d6.(5D).4s (6D).6s"</f>
        <v>3d6.(5D).4s (6D).6s</v>
      </c>
      <c r="B436" t="str">
        <f>"g 7D"</f>
        <v>g 7D</v>
      </c>
      <c r="C436" t="str">
        <f>"5"</f>
        <v>5</v>
      </c>
      <c r="D436" t="str">
        <f>""</f>
        <v/>
      </c>
      <c r="E436" t="str">
        <f>"53800.859"</f>
        <v>53800.859</v>
      </c>
      <c r="F436" t="str">
        <f>""</f>
        <v/>
      </c>
      <c r="G436" t="str">
        <f>"0.001"</f>
        <v>0.001</v>
      </c>
      <c r="H436" t="str">
        <f>"1.586"</f>
        <v>1.586</v>
      </c>
      <c r="I436" t="str">
        <f>"                                                     "</f>
        <v xml:space="preserve">                                                     </v>
      </c>
      <c r="J436" t="str">
        <f>""</f>
        <v/>
      </c>
    </row>
    <row r="437" spans="1:10">
      <c r="A437" s="1" t="str">
        <f>"3d6.(5D).4s (6D).6s"</f>
        <v>3d6.(5D).4s (6D).6s</v>
      </c>
      <c r="B437" t="str">
        <f>"g 7D"</f>
        <v>g 7D</v>
      </c>
      <c r="C437" t="str">
        <f>"4"</f>
        <v>4</v>
      </c>
      <c r="D437" t="str">
        <f>""</f>
        <v/>
      </c>
      <c r="E437" t="str">
        <f>"54124.744"</f>
        <v>54124.744</v>
      </c>
      <c r="F437" t="str">
        <f>""</f>
        <v/>
      </c>
      <c r="G437" t="str">
        <f>"0.001"</f>
        <v>0.001</v>
      </c>
      <c r="H437" t="str">
        <f>"1.65?"</f>
        <v>1.65?</v>
      </c>
      <c r="I437" t="str">
        <f>"                                                     "</f>
        <v xml:space="preserve">                                                     </v>
      </c>
      <c r="J437" t="str">
        <f>""</f>
        <v/>
      </c>
    </row>
    <row r="438" spans="1:10">
      <c r="A438" s="1" t="str">
        <f>"3d6.(5D).4s (6D).6s"</f>
        <v>3d6.(5D).4s (6D).6s</v>
      </c>
      <c r="B438" t="str">
        <f>"g 7D"</f>
        <v>g 7D</v>
      </c>
      <c r="C438" t="str">
        <f>"3"</f>
        <v>3</v>
      </c>
      <c r="D438" t="str">
        <f>""</f>
        <v/>
      </c>
      <c r="E438" t="str">
        <f>"54404.779"</f>
        <v>54404.779</v>
      </c>
      <c r="F438" t="str">
        <f>""</f>
        <v/>
      </c>
      <c r="G438" t="str">
        <f>"0.002"</f>
        <v>0.002</v>
      </c>
      <c r="H438" t="str">
        <f>""</f>
        <v/>
      </c>
      <c r="I438" t="str">
        <f>"                                                     "</f>
        <v xml:space="preserve">                                                     </v>
      </c>
      <c r="J438" t="str">
        <f>""</f>
        <v/>
      </c>
    </row>
    <row r="439" spans="1:10">
      <c r="A439" s="1" t="str">
        <f>"3d6.(5D).4s (6D).6s"</f>
        <v>3d6.(5D).4s (6D).6s</v>
      </c>
      <c r="B439" t="str">
        <f>"g 7D"</f>
        <v>g 7D</v>
      </c>
      <c r="C439" t="str">
        <f>"2"</f>
        <v>2</v>
      </c>
      <c r="D439" t="str">
        <f>""</f>
        <v/>
      </c>
      <c r="E439" t="str">
        <f>"54611.710"</f>
        <v>54611.710</v>
      </c>
      <c r="F439" t="str">
        <f>""</f>
        <v/>
      </c>
      <c r="G439" t="str">
        <f>"0.002"</f>
        <v>0.002</v>
      </c>
      <c r="H439" t="str">
        <f>""</f>
        <v/>
      </c>
      <c r="I439" t="str">
        <f>"                                                     "</f>
        <v xml:space="preserve">                                                     </v>
      </c>
      <c r="J439" t="str">
        <f>""</f>
        <v/>
      </c>
    </row>
    <row r="440" spans="1:10">
      <c r="A440" s="1" t="str">
        <f>"3d6.(5D).4s (6D).6s"</f>
        <v>3d6.(5D).4s (6D).6s</v>
      </c>
      <c r="B440" t="str">
        <f>"g 7D"</f>
        <v>g 7D</v>
      </c>
      <c r="C440" t="str">
        <f>"1"</f>
        <v>1</v>
      </c>
      <c r="D440" t="str">
        <f>""</f>
        <v/>
      </c>
      <c r="E440" t="str">
        <f>"54747.598"</f>
        <v>54747.598</v>
      </c>
      <c r="F440" t="str">
        <f>""</f>
        <v/>
      </c>
      <c r="G440" t="str">
        <f>"0.001"</f>
        <v>0.001</v>
      </c>
      <c r="H440" t="str">
        <f>""</f>
        <v/>
      </c>
      <c r="I440" t="str">
        <f>"                                                     "</f>
        <v xml:space="preserve">                                                     </v>
      </c>
      <c r="J440" t="str">
        <f>""</f>
        <v/>
      </c>
    </row>
    <row r="441" spans="1:10">
      <c r="A441" s="1" t="str">
        <f>"3d7.(2P).4p"</f>
        <v>3d7.(2P).4p</v>
      </c>
      <c r="B441" t="str">
        <f>"x 3S*"</f>
        <v>x 3S*</v>
      </c>
      <c r="C441" t="str">
        <f>"1"</f>
        <v>1</v>
      </c>
      <c r="D441" t="str">
        <f>""</f>
        <v/>
      </c>
      <c r="E441" t="str">
        <f>"53808.356"</f>
        <v>53808.356</v>
      </c>
      <c r="F441" t="str">
        <f>""</f>
        <v/>
      </c>
      <c r="G441" t="str">
        <f>"0.002"</f>
        <v>0.002</v>
      </c>
      <c r="H441" t="str">
        <f>"1.418"</f>
        <v>1.418</v>
      </c>
      <c r="I441" t="str">
        <f>"  30             :    21  3d6.(3D).4s.4p.(3P*)  5P*  "</f>
        <v xml:space="preserve">  30             :    21  3d6.(3D).4s.4p.(3P*)  5P*  </v>
      </c>
      <c r="J441" t="str">
        <f>""</f>
        <v/>
      </c>
    </row>
    <row r="442" spans="1:10">
      <c r="A442" s="1" t="str">
        <f>"3d7.(4F).5p"</f>
        <v>3d7.(4F).5p</v>
      </c>
      <c r="B442" t="str">
        <f>"3D*"</f>
        <v>3D*</v>
      </c>
      <c r="C442" t="str">
        <f>"3"</f>
        <v>3</v>
      </c>
      <c r="D442" t="str">
        <f>""</f>
        <v/>
      </c>
      <c r="E442" t="str">
        <f>"53837.851"</f>
        <v>53837.851</v>
      </c>
      <c r="F442" t="str">
        <f>""</f>
        <v/>
      </c>
      <c r="G442" t="str">
        <f>"0.001"</f>
        <v>0.001</v>
      </c>
      <c r="H442" t="str">
        <f>""</f>
        <v/>
      </c>
      <c r="I442" t="str">
        <f t="shared" ref="I442:I447" si="53">"                                                     "</f>
        <v xml:space="preserve">                                                     </v>
      </c>
      <c r="J442" t="str">
        <f>""</f>
        <v/>
      </c>
    </row>
    <row r="443" spans="1:10">
      <c r="A443" s="1" t="str">
        <f>"3d7.(4F).5p"</f>
        <v>3d7.(4F).5p</v>
      </c>
      <c r="B443" t="str">
        <f>"3D*"</f>
        <v>3D*</v>
      </c>
      <c r="C443" t="str">
        <f>"2"</f>
        <v>2</v>
      </c>
      <c r="D443" t="str">
        <f>""</f>
        <v/>
      </c>
      <c r="E443" t="str">
        <f>"54342.779"</f>
        <v>54342.779</v>
      </c>
      <c r="F443" t="str">
        <f>""</f>
        <v/>
      </c>
      <c r="G443" t="str">
        <f>"0.002"</f>
        <v>0.002</v>
      </c>
      <c r="H443" t="str">
        <f>""</f>
        <v/>
      </c>
      <c r="I443" t="str">
        <f t="shared" si="53"/>
        <v xml:space="preserve">                                                     </v>
      </c>
      <c r="J443" t="str">
        <f>""</f>
        <v/>
      </c>
    </row>
    <row r="444" spans="1:10">
      <c r="A444" s="1" t="str">
        <f>"3d7.(4F).5p"</f>
        <v>3d7.(4F).5p</v>
      </c>
      <c r="B444" t="str">
        <f>"3D*"</f>
        <v>3D*</v>
      </c>
      <c r="C444" t="str">
        <f>"1"</f>
        <v>1</v>
      </c>
      <c r="D444" t="str">
        <f>""</f>
        <v/>
      </c>
      <c r="E444" t="str">
        <f>"54807.250"</f>
        <v>54807.250</v>
      </c>
      <c r="F444" t="str">
        <f>""</f>
        <v/>
      </c>
      <c r="G444" t="str">
        <f>"0.002"</f>
        <v>0.002</v>
      </c>
      <c r="H444" t="str">
        <f>""</f>
        <v/>
      </c>
      <c r="I444" t="str">
        <f t="shared" si="53"/>
        <v xml:space="preserve">                                                     </v>
      </c>
      <c r="J444" t="str">
        <f>""</f>
        <v/>
      </c>
    </row>
    <row r="445" spans="1:10">
      <c r="A445" s="1" t="str">
        <f>"3d7.(4F).4d"</f>
        <v>3d7.(4F).4d</v>
      </c>
      <c r="B445" t="str">
        <f>"e 3H"</f>
        <v>e 3H</v>
      </c>
      <c r="C445" t="str">
        <f>"6"</f>
        <v>6</v>
      </c>
      <c r="D445" t="str">
        <f>""</f>
        <v/>
      </c>
      <c r="E445" t="str">
        <f>"53840.620"</f>
        <v>53840.620</v>
      </c>
      <c r="F445" t="str">
        <f>""</f>
        <v/>
      </c>
      <c r="G445" t="str">
        <f>"0.001"</f>
        <v>0.001</v>
      </c>
      <c r="H445" t="str">
        <f>"1.225"</f>
        <v>1.225</v>
      </c>
      <c r="I445" t="str">
        <f t="shared" si="53"/>
        <v xml:space="preserve">                                                     </v>
      </c>
      <c r="J445" t="str">
        <f>""</f>
        <v/>
      </c>
    </row>
    <row r="446" spans="1:10">
      <c r="A446" s="1" t="str">
        <f>"3d7.(4F).4d"</f>
        <v>3d7.(4F).4d</v>
      </c>
      <c r="B446" t="str">
        <f>"e 3H"</f>
        <v>e 3H</v>
      </c>
      <c r="C446" t="str">
        <f>"5"</f>
        <v>5</v>
      </c>
      <c r="D446" t="str">
        <f>""</f>
        <v/>
      </c>
      <c r="E446" t="str">
        <f>"54266.716"</f>
        <v>54266.716</v>
      </c>
      <c r="F446" t="str">
        <f>""</f>
        <v/>
      </c>
      <c r="G446" t="str">
        <f>"0.001"</f>
        <v>0.001</v>
      </c>
      <c r="H446" t="str">
        <f>"1.109"</f>
        <v>1.109</v>
      </c>
      <c r="I446" t="str">
        <f t="shared" si="53"/>
        <v xml:space="preserve">                                                     </v>
      </c>
      <c r="J446" t="str">
        <f>""</f>
        <v/>
      </c>
    </row>
    <row r="447" spans="1:10">
      <c r="A447" s="1" t="str">
        <f>"3d7.(4F).4d"</f>
        <v>3d7.(4F).4d</v>
      </c>
      <c r="B447" t="str">
        <f>"e 3H"</f>
        <v>e 3H</v>
      </c>
      <c r="C447" t="str">
        <f>"4"</f>
        <v>4</v>
      </c>
      <c r="D447" t="str">
        <f>""</f>
        <v/>
      </c>
      <c r="E447" t="str">
        <f>"54555.418"</f>
        <v>54555.418</v>
      </c>
      <c r="F447" t="str">
        <f>""</f>
        <v/>
      </c>
      <c r="G447" t="str">
        <f>"0.001"</f>
        <v>0.001</v>
      </c>
      <c r="H447" t="str">
        <f>"0.871"</f>
        <v>0.871</v>
      </c>
      <c r="I447" t="str">
        <f t="shared" si="53"/>
        <v xml:space="preserve">                                                     </v>
      </c>
      <c r="J447" t="str">
        <f>""</f>
        <v/>
      </c>
    </row>
    <row r="448" spans="1:10">
      <c r="A448" s="1" t="str">
        <f>"3d6.(3D).4s.4p.(3P*)"</f>
        <v>3d6.(3D).4s.4p.(3P*)</v>
      </c>
      <c r="B448" t="str">
        <f>"5D*"</f>
        <v>5D*</v>
      </c>
      <c r="C448" t="str">
        <f>"3"</f>
        <v>3</v>
      </c>
      <c r="D448" t="str">
        <f>""</f>
        <v/>
      </c>
      <c r="E448" t="str">
        <f>"53891.526"</f>
        <v>53891.526</v>
      </c>
      <c r="F448" t="str">
        <f>""</f>
        <v/>
      </c>
      <c r="G448" t="str">
        <f>"0.001"</f>
        <v>0.001</v>
      </c>
      <c r="H448" t="str">
        <f>"1.476"</f>
        <v>1.476</v>
      </c>
      <c r="I448" t="str">
        <f>"  74             :    13  3d6.(3D).4s.4p.(3P*)  5P*  "</f>
        <v xml:space="preserve">  74             :    13  3d6.(3D).4s.4p.(3P*)  5P*  </v>
      </c>
      <c r="J448" t="str">
        <f>""</f>
        <v/>
      </c>
    </row>
    <row r="449" spans="1:10">
      <c r="A449" s="1" t="str">
        <f>"3d6.(3D).4s.4p.(3P*)"</f>
        <v>3d6.(3D).4s.4p.(3P*)</v>
      </c>
      <c r="B449" t="str">
        <f>"5D*"</f>
        <v>5D*</v>
      </c>
      <c r="C449" t="str">
        <f>"2"</f>
        <v>2</v>
      </c>
      <c r="D449" t="str">
        <f>""</f>
        <v/>
      </c>
      <c r="E449" t="str">
        <f>"53913.020"</f>
        <v>53913.020</v>
      </c>
      <c r="F449" t="str">
        <f>""</f>
        <v/>
      </c>
      <c r="G449" t="str">
        <f>"0.002"</f>
        <v>0.002</v>
      </c>
      <c r="H449" t="str">
        <f>""</f>
        <v/>
      </c>
      <c r="I449" t="str">
        <f>"                                                     "</f>
        <v xml:space="preserve">                                                     </v>
      </c>
      <c r="J449" t="str">
        <f>""</f>
        <v/>
      </c>
    </row>
    <row r="450" spans="1:10">
      <c r="A450" s="1" t="str">
        <f>"3d6.(3D).4s.4p.(3P*)"</f>
        <v>3d6.(3D).4s.4p.(3P*)</v>
      </c>
      <c r="B450" t="str">
        <f>"5D*"</f>
        <v>5D*</v>
      </c>
      <c r="C450" t="str">
        <f>"1"</f>
        <v>1</v>
      </c>
      <c r="D450" t="str">
        <f>""</f>
        <v/>
      </c>
      <c r="E450" t="str">
        <f>"53975.744"</f>
        <v>53975.744</v>
      </c>
      <c r="F450" t="str">
        <f>""</f>
        <v/>
      </c>
      <c r="G450" t="str">
        <f>"0.012"</f>
        <v>0.012</v>
      </c>
      <c r="H450" t="str">
        <f>""</f>
        <v/>
      </c>
      <c r="I450" t="str">
        <f>"  72             :    14  3d6.(3D).4s.4p.(3P*)  5P*  "</f>
        <v xml:space="preserve">  72             :    14  3d6.(3D).4s.4p.(3P*)  5P*  </v>
      </c>
      <c r="J450" t="str">
        <f>""</f>
        <v/>
      </c>
    </row>
    <row r="451" spans="1:10">
      <c r="A451" s="1" t="str">
        <f>"3d6.(3D).4s.4p.(3P*)"</f>
        <v>3d6.(3D).4s.4p.(3P*)</v>
      </c>
      <c r="B451" t="str">
        <f>"5D*"</f>
        <v>5D*</v>
      </c>
      <c r="C451" t="str">
        <f>"4"</f>
        <v>4</v>
      </c>
      <c r="D451" t="str">
        <f>""</f>
        <v/>
      </c>
      <c r="E451" t="str">
        <f>"54301.340"</f>
        <v>54301.340</v>
      </c>
      <c r="F451" t="str">
        <f>""</f>
        <v/>
      </c>
      <c r="G451" t="str">
        <f>"0.001"</f>
        <v>0.001</v>
      </c>
      <c r="H451" t="str">
        <f>""</f>
        <v/>
      </c>
      <c r="I451" t="str">
        <f>"  89             :     6  3d6.(3F1).4s.4p.(3P*) 5D*  "</f>
        <v xml:space="preserve">  89             :     6  3d6.(3F1).4s.4p.(3P*) 5D*  </v>
      </c>
      <c r="J451" t="str">
        <f>""</f>
        <v/>
      </c>
    </row>
    <row r="452" spans="1:10">
      <c r="A452" s="1" t="str">
        <f>"3d6.(3G).4s.4p.(3P*)"</f>
        <v>3d6.(3G).4s.4p.(3P*)</v>
      </c>
      <c r="B452" t="str">
        <f>"t 3G*"</f>
        <v>t 3G*</v>
      </c>
      <c r="C452" t="str">
        <f>"5"</f>
        <v>5</v>
      </c>
      <c r="D452" t="str">
        <f>""</f>
        <v/>
      </c>
      <c r="E452" t="str">
        <f>"53983.293"</f>
        <v>53983.293</v>
      </c>
      <c r="F452" t="str">
        <f>""</f>
        <v/>
      </c>
      <c r="G452" t="str">
        <f>"0.003"</f>
        <v>0.003</v>
      </c>
      <c r="H452" t="str">
        <f>"1.234"</f>
        <v>1.234</v>
      </c>
      <c r="I452" t="str">
        <f>"  39             :    35  3d7.(2H).4p           3G*  "</f>
        <v xml:space="preserve">  39             :    35  3d7.(2H).4p           3G*  </v>
      </c>
      <c r="J452" t="str">
        <f>""</f>
        <v/>
      </c>
    </row>
    <row r="453" spans="1:10">
      <c r="A453" s="1" t="str">
        <f>"3d6.(3G).4s.4p.(3P*)"</f>
        <v>3d6.(3G).4s.4p.(3P*)</v>
      </c>
      <c r="B453" t="str">
        <f>"t 3G*"</f>
        <v>t 3G*</v>
      </c>
      <c r="C453" t="str">
        <f>"4"</f>
        <v>4</v>
      </c>
      <c r="D453" t="str">
        <f>""</f>
        <v/>
      </c>
      <c r="E453" t="str">
        <f>"54237.415"</f>
        <v>54237.415</v>
      </c>
      <c r="F453" t="str">
        <f>""</f>
        <v/>
      </c>
      <c r="G453" t="str">
        <f>"0.001"</f>
        <v>0.001</v>
      </c>
      <c r="H453" t="str">
        <f>"1.183"</f>
        <v>1.183</v>
      </c>
      <c r="I453" t="str">
        <f>"  34             :    36  3d7.(2H).4p           3G*  "</f>
        <v xml:space="preserve">  34             :    36  3d7.(2H).4p           3G*  </v>
      </c>
      <c r="J453" t="str">
        <f>""</f>
        <v/>
      </c>
    </row>
    <row r="454" spans="1:10">
      <c r="A454" s="1" t="str">
        <f>"3d6.(3G).4s.4p.(3P*)"</f>
        <v>3d6.(3G).4s.4p.(3P*)</v>
      </c>
      <c r="B454" t="str">
        <f>"t 3G*"</f>
        <v>t 3G*</v>
      </c>
      <c r="C454" t="str">
        <f>"3"</f>
        <v>3</v>
      </c>
      <c r="D454" t="str">
        <f>""</f>
        <v/>
      </c>
      <c r="E454" t="str">
        <f>"54600.350"</f>
        <v>54600.350</v>
      </c>
      <c r="F454" t="str">
        <f>""</f>
        <v/>
      </c>
      <c r="G454" t="str">
        <f>"0.001"</f>
        <v>0.001</v>
      </c>
      <c r="H454" t="str">
        <f>"0.922"</f>
        <v>0.922</v>
      </c>
      <c r="I454" t="str">
        <f>"  32             :    31  3d7.(2H).4p           3G*  "</f>
        <v xml:space="preserve">  32             :    31  3d7.(2H).4p           3G*  </v>
      </c>
      <c r="J454" t="str">
        <f>""</f>
        <v/>
      </c>
    </row>
    <row r="455" spans="1:10">
      <c r="A455" s="1" t="str">
        <f>"3d6.(3D).4s.4p.(3P*)"</f>
        <v>3d6.(3D).4s.4p.(3P*)</v>
      </c>
      <c r="B455" t="str">
        <f>"t 5P*"</f>
        <v>t 5P*</v>
      </c>
      <c r="C455" t="str">
        <f>"3"</f>
        <v>3</v>
      </c>
      <c r="D455" t="str">
        <f>""</f>
        <v/>
      </c>
      <c r="E455" t="str">
        <f>"54004.718"</f>
        <v>54004.718</v>
      </c>
      <c r="F455" t="str">
        <f>""</f>
        <v/>
      </c>
      <c r="G455" t="str">
        <f>"0.001"</f>
        <v>0.001</v>
      </c>
      <c r="H455" t="str">
        <f>""</f>
        <v/>
      </c>
      <c r="I455" t="str">
        <f>"  68             :    13  3d6.(3D).4s.4p.(3P*)  5D*  "</f>
        <v xml:space="preserve">  68             :    13  3d6.(3D).4s.4p.(3P*)  5D*  </v>
      </c>
      <c r="J455" t="str">
        <f>""</f>
        <v/>
      </c>
    </row>
    <row r="456" spans="1:10">
      <c r="A456" s="1" t="str">
        <f>"3d6.(3D).4s.4p.(3P*)"</f>
        <v>3d6.(3D).4s.4p.(3P*)</v>
      </c>
      <c r="B456" t="str">
        <f>"t 5P*"</f>
        <v>t 5P*</v>
      </c>
      <c r="C456" t="str">
        <f>"2"</f>
        <v>2</v>
      </c>
      <c r="D456" t="str">
        <f>""</f>
        <v/>
      </c>
      <c r="E456" t="str">
        <f>"54112.230"</f>
        <v>54112.230</v>
      </c>
      <c r="F456" t="str">
        <f>""</f>
        <v/>
      </c>
      <c r="G456" t="str">
        <f>"0.001"</f>
        <v>0.001</v>
      </c>
      <c r="H456" t="str">
        <f>"1.70?"</f>
        <v>1.70?</v>
      </c>
      <c r="I456" t="str">
        <f>"  47             :    31  3d6.(3D).4s.4p.(3P*)  5D*  "</f>
        <v xml:space="preserve">  47             :    31  3d6.(3D).4s.4p.(3P*)  5D*  </v>
      </c>
      <c r="J456" t="str">
        <f>""</f>
        <v/>
      </c>
    </row>
    <row r="457" spans="1:10">
      <c r="A457" s="1" t="str">
        <f>"3d6.(3D).4s.4p.(3P*)"</f>
        <v>3d6.(3D).4s.4p.(3P*)</v>
      </c>
      <c r="B457" t="str">
        <f>"t 5P*"</f>
        <v>t 5P*</v>
      </c>
      <c r="C457" t="str">
        <f>"1"</f>
        <v>1</v>
      </c>
      <c r="D457" t="str">
        <f>""</f>
        <v/>
      </c>
      <c r="E457" t="str">
        <f>"54271.062"</f>
        <v>54271.062</v>
      </c>
      <c r="F457" t="str">
        <f>""</f>
        <v/>
      </c>
      <c r="G457" t="str">
        <f>"0.002"</f>
        <v>0.002</v>
      </c>
      <c r="H457" t="str">
        <f>""</f>
        <v/>
      </c>
      <c r="I457" t="str">
        <f>"  57             :     9  3d7.(2P).4p           3S*  "</f>
        <v xml:space="preserve">  57             :     9  3d7.(2P).4p           3S*  </v>
      </c>
      <c r="J457" t="str">
        <f>""</f>
        <v/>
      </c>
    </row>
    <row r="458" spans="1:10">
      <c r="A458" s="1" t="str">
        <f>"3d6.4s.(6D).6s"</f>
        <v>3d6.4s.(6D).6s</v>
      </c>
      <c r="B458" t="str">
        <f>"5D"</f>
        <v>5D</v>
      </c>
      <c r="C458" t="str">
        <f>"4"</f>
        <v>4</v>
      </c>
      <c r="D458" t="str">
        <f>""</f>
        <v/>
      </c>
      <c r="E458" t="str">
        <f>"54479.902"</f>
        <v>54479.902</v>
      </c>
      <c r="F458" t="str">
        <f>""</f>
        <v/>
      </c>
      <c r="G458" t="str">
        <f>"0.001"</f>
        <v>0.001</v>
      </c>
      <c r="H458" t="str">
        <f>""</f>
        <v/>
      </c>
      <c r="I458" t="str">
        <f t="shared" ref="I458:I465" si="54">"                                                     "</f>
        <v xml:space="preserve">                                                     </v>
      </c>
      <c r="J458" t="str">
        <f>""</f>
        <v/>
      </c>
    </row>
    <row r="459" spans="1:10">
      <c r="A459" s="1" t="str">
        <f>"3d6.4s.(6D).6s"</f>
        <v>3d6.4s.(6D).6s</v>
      </c>
      <c r="B459" t="str">
        <f>"5D"</f>
        <v>5D</v>
      </c>
      <c r="C459" t="str">
        <f>"3"</f>
        <v>3</v>
      </c>
      <c r="D459" t="str">
        <f>""</f>
        <v/>
      </c>
      <c r="E459" t="str">
        <f>"54864.831"</f>
        <v>54864.831</v>
      </c>
      <c r="F459" t="str">
        <f>""</f>
        <v/>
      </c>
      <c r="G459" t="str">
        <f>"0.001"</f>
        <v>0.001</v>
      </c>
      <c r="H459" t="str">
        <f>""</f>
        <v/>
      </c>
      <c r="I459" t="str">
        <f t="shared" si="54"/>
        <v xml:space="preserve">                                                     </v>
      </c>
      <c r="J459" t="str">
        <f>""</f>
        <v/>
      </c>
    </row>
    <row r="460" spans="1:10">
      <c r="A460" s="1" t="str">
        <f>"3d6.4s.(6D).6s"</f>
        <v>3d6.4s.(6D).6s</v>
      </c>
      <c r="B460" t="str">
        <f>"5D"</f>
        <v>5D</v>
      </c>
      <c r="C460" t="str">
        <f>"2"</f>
        <v>2</v>
      </c>
      <c r="D460" t="str">
        <f>""</f>
        <v/>
      </c>
      <c r="E460" t="str">
        <f>"55134.168"</f>
        <v>55134.168</v>
      </c>
      <c r="F460" t="str">
        <f>""</f>
        <v/>
      </c>
      <c r="G460" t="str">
        <f>"0.001"</f>
        <v>0.001</v>
      </c>
      <c r="H460" t="str">
        <f>""</f>
        <v/>
      </c>
      <c r="I460" t="str">
        <f t="shared" si="54"/>
        <v xml:space="preserve">                                                     </v>
      </c>
      <c r="J460" t="str">
        <f>""</f>
        <v/>
      </c>
    </row>
    <row r="461" spans="1:10">
      <c r="A461" s="1" t="str">
        <f>"3d6.4s.(6D).6s"</f>
        <v>3d6.4s.(6D).6s</v>
      </c>
      <c r="B461" t="str">
        <f>"5D"</f>
        <v>5D</v>
      </c>
      <c r="C461" t="str">
        <f>"1"</f>
        <v>1</v>
      </c>
      <c r="D461" t="str">
        <f>""</f>
        <v/>
      </c>
      <c r="E461" t="str">
        <f>"55305.627"</f>
        <v>55305.627</v>
      </c>
      <c r="F461" t="str">
        <f>""</f>
        <v/>
      </c>
      <c r="G461" t="str">
        <f>"0.002"</f>
        <v>0.002</v>
      </c>
      <c r="H461" t="str">
        <f>""</f>
        <v/>
      </c>
      <c r="I461" t="str">
        <f t="shared" si="54"/>
        <v xml:space="preserve">                                                     </v>
      </c>
      <c r="J461" t="str">
        <f>""</f>
        <v/>
      </c>
    </row>
    <row r="462" spans="1:10">
      <c r="A462" s="1" t="str">
        <f>"3d6.4s.(6D).6s"</f>
        <v>3d6.4s.(6D).6s</v>
      </c>
      <c r="B462" t="str">
        <f>"5D"</f>
        <v>5D</v>
      </c>
      <c r="C462" t="str">
        <f>"0"</f>
        <v>0</v>
      </c>
      <c r="D462" t="str">
        <f>""</f>
        <v/>
      </c>
      <c r="E462" t="str">
        <f>"55390.520"</f>
        <v>55390.520</v>
      </c>
      <c r="F462" t="str">
        <f>""</f>
        <v/>
      </c>
      <c r="G462" t="str">
        <f>"0.003"</f>
        <v>0.003</v>
      </c>
      <c r="H462" t="str">
        <f>""</f>
        <v/>
      </c>
      <c r="I462" t="str">
        <f t="shared" si="54"/>
        <v xml:space="preserve">                                                     </v>
      </c>
      <c r="J462" t="str">
        <f>""</f>
        <v/>
      </c>
    </row>
    <row r="463" spans="1:10">
      <c r="A463" s="1" t="str">
        <f>"3d7.(4F).4d"</f>
        <v>3d7.(4F).4d</v>
      </c>
      <c r="B463" t="str">
        <f>"f 3F"</f>
        <v>f 3F</v>
      </c>
      <c r="C463" t="str">
        <f>"4"</f>
        <v>4</v>
      </c>
      <c r="D463" t="str">
        <f>""</f>
        <v/>
      </c>
      <c r="E463" t="str">
        <f>"54683.322"</f>
        <v>54683.322</v>
      </c>
      <c r="F463" t="str">
        <f>""</f>
        <v/>
      </c>
      <c r="G463" t="str">
        <f>"0.001"</f>
        <v>0.001</v>
      </c>
      <c r="H463" t="str">
        <f>"1.141"</f>
        <v>1.141</v>
      </c>
      <c r="I463" t="str">
        <f t="shared" si="54"/>
        <v xml:space="preserve">                                                     </v>
      </c>
      <c r="J463" t="str">
        <f>""</f>
        <v/>
      </c>
    </row>
    <row r="464" spans="1:10">
      <c r="A464" s="1" t="str">
        <f>"3d7.(4F).4d"</f>
        <v>3d7.(4F).4d</v>
      </c>
      <c r="B464" t="str">
        <f>"f 3F"</f>
        <v>f 3F</v>
      </c>
      <c r="C464" t="str">
        <f>"3"</f>
        <v>3</v>
      </c>
      <c r="D464" t="str">
        <f>""</f>
        <v/>
      </c>
      <c r="E464" t="str">
        <f>"55124.938"</f>
        <v>55124.938</v>
      </c>
      <c r="F464" t="str">
        <f>""</f>
        <v/>
      </c>
      <c r="G464" t="str">
        <f>"0.001"</f>
        <v>0.001</v>
      </c>
      <c r="H464" t="str">
        <f>"1.071"</f>
        <v>1.071</v>
      </c>
      <c r="I464" t="str">
        <f t="shared" si="54"/>
        <v xml:space="preserve">                                                     </v>
      </c>
      <c r="J464" t="str">
        <f>""</f>
        <v/>
      </c>
    </row>
    <row r="465" spans="1:10">
      <c r="A465" s="1" t="str">
        <f>"3d7.(4F).4d"</f>
        <v>3d7.(4F).4d</v>
      </c>
      <c r="B465" t="str">
        <f>"f 3F"</f>
        <v>f 3F</v>
      </c>
      <c r="C465" t="str">
        <f>"2"</f>
        <v>2</v>
      </c>
      <c r="D465" t="str">
        <f>""</f>
        <v/>
      </c>
      <c r="E465" t="str">
        <f>"55378.811"</f>
        <v>55378.811</v>
      </c>
      <c r="F465" t="str">
        <f>""</f>
        <v/>
      </c>
      <c r="G465" t="str">
        <f>"0.005"</f>
        <v>0.005</v>
      </c>
      <c r="H465" t="str">
        <f>"0.676"</f>
        <v>0.676</v>
      </c>
      <c r="I465" t="str">
        <f t="shared" si="54"/>
        <v xml:space="preserve">                                                     </v>
      </c>
      <c r="J465" t="str">
        <f>""</f>
        <v/>
      </c>
    </row>
    <row r="466" spans="1:10">
      <c r="A466" s="1" t="str">
        <f>"3d6.(3G).4s.4p.(3P*)"</f>
        <v>3d6.(3G).4s.4p.(3P*)</v>
      </c>
      <c r="B466" t="str">
        <f>"w 1G*"</f>
        <v>w 1G*</v>
      </c>
      <c r="C466" t="str">
        <f>"4"</f>
        <v>4</v>
      </c>
      <c r="D466" t="str">
        <f>""</f>
        <v/>
      </c>
      <c r="E466" t="str">
        <f>"54810.856"</f>
        <v>54810.856</v>
      </c>
      <c r="F466" t="str">
        <f>""</f>
        <v/>
      </c>
      <c r="G466" t="str">
        <f>"0.003"</f>
        <v>0.003</v>
      </c>
      <c r="H466" t="str">
        <f>"1.001"</f>
        <v>1.001</v>
      </c>
      <c r="I466" t="str">
        <f>"  44             :    22  3d7.(2G).4p           1G*  "</f>
        <v xml:space="preserve">  44             :    22  3d7.(2G).4p           1G*  </v>
      </c>
      <c r="J466" t="str">
        <f>""</f>
        <v/>
      </c>
    </row>
    <row r="467" spans="1:10">
      <c r="A467" s="1" t="str">
        <f>"3d7.(4F).4d"</f>
        <v>3d7.(4F).4d</v>
      </c>
      <c r="B467" t="str">
        <f>"e 3P"</f>
        <v>e 3P</v>
      </c>
      <c r="C467" t="str">
        <f>"2"</f>
        <v>2</v>
      </c>
      <c r="D467" t="str">
        <f>""</f>
        <v/>
      </c>
      <c r="E467" t="str">
        <f>"54879.683"</f>
        <v>54879.683</v>
      </c>
      <c r="F467" t="str">
        <f>""</f>
        <v/>
      </c>
      <c r="G467" t="str">
        <f>"0.001"</f>
        <v>0.001</v>
      </c>
      <c r="H467" t="str">
        <f>"1.459"</f>
        <v>1.459</v>
      </c>
      <c r="I467" t="str">
        <f>"                                                     "</f>
        <v xml:space="preserve">                                                     </v>
      </c>
      <c r="J467" t="str">
        <f>""</f>
        <v/>
      </c>
    </row>
    <row r="468" spans="1:10">
      <c r="A468" s="1" t="str">
        <f>"3d7.(4F).4d"</f>
        <v>3d7.(4F).4d</v>
      </c>
      <c r="B468" t="str">
        <f>"e 3P"</f>
        <v>e 3P</v>
      </c>
      <c r="C468" t="str">
        <f>"1"</f>
        <v>1</v>
      </c>
      <c r="D468" t="str">
        <f>""</f>
        <v/>
      </c>
      <c r="E468" t="str">
        <f>"55376.090"</f>
        <v>55376.090</v>
      </c>
      <c r="F468" t="str">
        <f>""</f>
        <v/>
      </c>
      <c r="G468" t="str">
        <f>"0.002"</f>
        <v>0.002</v>
      </c>
      <c r="H468" t="str">
        <f>"1.459"</f>
        <v>1.459</v>
      </c>
      <c r="I468" t="str">
        <f>"                                                     "</f>
        <v xml:space="preserve">                                                     </v>
      </c>
      <c r="J468" t="str">
        <f>""</f>
        <v/>
      </c>
    </row>
    <row r="469" spans="1:10">
      <c r="A469" s="1" t="str">
        <f>"3d7.(4F).4d"</f>
        <v>3d7.(4F).4d</v>
      </c>
      <c r="B469" t="str">
        <f>"e 3P"</f>
        <v>e 3P</v>
      </c>
      <c r="C469" t="str">
        <f>"0"</f>
        <v>0</v>
      </c>
      <c r="D469" t="str">
        <f>""</f>
        <v/>
      </c>
      <c r="E469" t="str">
        <f>"55726.52"</f>
        <v>55726.52</v>
      </c>
      <c r="F469" t="str">
        <f>"?"</f>
        <v>?</v>
      </c>
      <c r="G469" t="str">
        <f>"0.071"</f>
        <v>0.071</v>
      </c>
      <c r="H469" t="str">
        <f>""</f>
        <v/>
      </c>
      <c r="I469" t="str">
        <f>"                                                     "</f>
        <v xml:space="preserve">                                                     </v>
      </c>
      <c r="J469" t="str">
        <f>""</f>
        <v/>
      </c>
    </row>
    <row r="470" spans="1:10">
      <c r="A470" s="1" t="str">
        <f t="shared" ref="A470:A475" si="55">"3d6.(1G2).4s.4p.(3P*)"</f>
        <v>3d6.(1G2).4s.4p.(3P*)</v>
      </c>
      <c r="B470" t="str">
        <f>"s 3G*"</f>
        <v>s 3G*</v>
      </c>
      <c r="C470" t="str">
        <f>"5"</f>
        <v>5</v>
      </c>
      <c r="D470" t="str">
        <f>""</f>
        <v/>
      </c>
      <c r="E470" t="str">
        <f>"55429.819"</f>
        <v>55429.819</v>
      </c>
      <c r="F470" t="str">
        <f>""</f>
        <v/>
      </c>
      <c r="G470" t="str">
        <f>"0.002"</f>
        <v>0.002</v>
      </c>
      <c r="H470" t="str">
        <f>"1.057"</f>
        <v>1.057</v>
      </c>
      <c r="I470" t="str">
        <f>"  46             :    23  3d7.(2H).4p           1H*  "</f>
        <v xml:space="preserve">  46             :    23  3d7.(2H).4p           1H*  </v>
      </c>
      <c r="J470" t="str">
        <f>""</f>
        <v/>
      </c>
    </row>
    <row r="471" spans="1:10">
      <c r="A471" s="1" t="str">
        <f t="shared" si="55"/>
        <v>3d6.(1G2).4s.4p.(3P*)</v>
      </c>
      <c r="B471" t="str">
        <f>"s 3G*"</f>
        <v>s 3G*</v>
      </c>
      <c r="C471" t="str">
        <f>"3"</f>
        <v>3</v>
      </c>
      <c r="D471" t="str">
        <f>""</f>
        <v/>
      </c>
      <c r="E471" t="str">
        <f>"55790.696"</f>
        <v>55790.696</v>
      </c>
      <c r="F471" t="str">
        <f>""</f>
        <v/>
      </c>
      <c r="G471" t="str">
        <f>"0.002"</f>
        <v>0.002</v>
      </c>
      <c r="H471" t="str">
        <f>"0.908"</f>
        <v>0.908</v>
      </c>
      <c r="I471" t="str">
        <f>"  53             :    21  3d6.(3G).4s.4p.(3P*)  1F*  "</f>
        <v xml:space="preserve">  53             :    21  3d6.(3G).4s.4p.(3P*)  1F*  </v>
      </c>
      <c r="J471" t="str">
        <f>""</f>
        <v/>
      </c>
    </row>
    <row r="472" spans="1:10">
      <c r="A472" s="1" t="str">
        <f t="shared" si="55"/>
        <v>3d6.(1G2).4s.4p.(3P*)</v>
      </c>
      <c r="B472" t="str">
        <f>"s 3G*"</f>
        <v>s 3G*</v>
      </c>
      <c r="C472" t="str">
        <f>"4"</f>
        <v>4</v>
      </c>
      <c r="D472" t="str">
        <f>""</f>
        <v/>
      </c>
      <c r="E472" t="str">
        <f>"55905.536"</f>
        <v>55905.536</v>
      </c>
      <c r="F472" t="str">
        <f>""</f>
        <v/>
      </c>
      <c r="G472" t="str">
        <f>"0.003"</f>
        <v>0.003</v>
      </c>
      <c r="H472" t="str">
        <f>""</f>
        <v/>
      </c>
      <c r="I472" t="str">
        <f>"  61             :    17  3d6.(1G2).4s.4p.(3P*) 3H*  "</f>
        <v xml:space="preserve">  61             :    17  3d6.(1G2).4s.4p.(3P*) 3H*  </v>
      </c>
      <c r="J472" t="str">
        <f>""</f>
        <v/>
      </c>
    </row>
    <row r="473" spans="1:10">
      <c r="A473" s="1" t="str">
        <f t="shared" si="55"/>
        <v>3d6.(1G2).4s.4p.(3P*)</v>
      </c>
      <c r="B473" t="str">
        <f>"v 3H*"</f>
        <v>v 3H*</v>
      </c>
      <c r="C473" t="str">
        <f>"4"</f>
        <v>4</v>
      </c>
      <c r="D473" t="str">
        <f>""</f>
        <v/>
      </c>
      <c r="E473" t="str">
        <f>"55446.008"</f>
        <v>55446.008</v>
      </c>
      <c r="F473" t="str">
        <f>""</f>
        <v/>
      </c>
      <c r="G473" t="str">
        <f>"0.003"</f>
        <v>0.003</v>
      </c>
      <c r="H473" t="str">
        <f>"0.804"</f>
        <v>0.804</v>
      </c>
      <c r="I473" t="str">
        <f>"  59             :    11  3d6.(1I).4s.4p.(3P*)  3H*  "</f>
        <v xml:space="preserve">  59             :    11  3d6.(1I).4s.4p.(3P*)  3H*  </v>
      </c>
      <c r="J473" t="str">
        <f>""</f>
        <v/>
      </c>
    </row>
    <row r="474" spans="1:10">
      <c r="A474" s="1" t="str">
        <f t="shared" si="55"/>
        <v>3d6.(1G2).4s.4p.(3P*)</v>
      </c>
      <c r="B474" t="str">
        <f>"v 3H*"</f>
        <v>v 3H*</v>
      </c>
      <c r="C474" t="str">
        <f>"6"</f>
        <v>6</v>
      </c>
      <c r="D474" t="str">
        <f>""</f>
        <v/>
      </c>
      <c r="E474" t="str">
        <f>"55489.742"</f>
        <v>55489.742</v>
      </c>
      <c r="F474" t="str">
        <f>""</f>
        <v/>
      </c>
      <c r="G474" t="str">
        <f>"0.003"</f>
        <v>0.003</v>
      </c>
      <c r="H474" t="str">
        <f>"1.169"</f>
        <v>1.169</v>
      </c>
      <c r="I474" t="str">
        <f>"  48             :    33  3d6.(1I).4s.4p.(3P*)  3H*  "</f>
        <v xml:space="preserve">  48             :    33  3d6.(1I).4s.4p.(3P*)  3H*  </v>
      </c>
      <c r="J474" t="str">
        <f>""</f>
        <v/>
      </c>
    </row>
    <row r="475" spans="1:10">
      <c r="A475" s="1" t="str">
        <f t="shared" si="55"/>
        <v>3d6.(1G2).4s.4p.(3P*)</v>
      </c>
      <c r="B475" t="str">
        <f>"v 3H*"</f>
        <v>v 3H*</v>
      </c>
      <c r="C475" t="str">
        <f>"5"</f>
        <v>5</v>
      </c>
      <c r="D475" t="str">
        <f>""</f>
        <v/>
      </c>
      <c r="E475" t="str">
        <f>"55525.562"</f>
        <v>55525.562</v>
      </c>
      <c r="F475" t="str">
        <f>""</f>
        <v/>
      </c>
      <c r="G475" t="str">
        <f>"0.002"</f>
        <v>0.002</v>
      </c>
      <c r="H475" t="str">
        <f>"1.018"</f>
        <v>1.018</v>
      </c>
      <c r="I475" t="str">
        <f>"  47             :    23  3d7.(2H).4p           1H*  "</f>
        <v xml:space="preserve">  47             :    23  3d7.(2H).4p           1H*  </v>
      </c>
      <c r="J475" t="str">
        <f>""</f>
        <v/>
      </c>
    </row>
    <row r="476" spans="1:10">
      <c r="A476" s="1" t="str">
        <f>"3d7.(2D2).4p"</f>
        <v>3d7.(2D2).4p</v>
      </c>
      <c r="B476" t="str">
        <f>"w 1D*"</f>
        <v>w 1D*</v>
      </c>
      <c r="C476" t="str">
        <f>"2"</f>
        <v>2</v>
      </c>
      <c r="D476" t="str">
        <f>""</f>
        <v/>
      </c>
      <c r="E476" t="str">
        <f>"55754.233"</f>
        <v>55754.233</v>
      </c>
      <c r="F476" t="str">
        <f>""</f>
        <v/>
      </c>
      <c r="G476" t="str">
        <f>"0.003"</f>
        <v>0.003</v>
      </c>
      <c r="H476" t="str">
        <f>"0.990"</f>
        <v>0.990</v>
      </c>
      <c r="I476" t="str">
        <f>"  62             :    15  3d7.(2P).4p           1D*  "</f>
        <v xml:space="preserve">  62             :    15  3d7.(2P).4p           1D*  </v>
      </c>
      <c r="J476" t="str">
        <f>""</f>
        <v/>
      </c>
    </row>
    <row r="477" spans="1:10">
      <c r="A477" s="1" t="str">
        <f>"3d7.(2H).4p"</f>
        <v>3d7.(2H).4p</v>
      </c>
      <c r="B477" t="str">
        <f>"1H*"</f>
        <v>1H*</v>
      </c>
      <c r="C477" t="str">
        <f>"5"</f>
        <v>5</v>
      </c>
      <c r="D477" t="str">
        <f>""</f>
        <v/>
      </c>
      <c r="E477" t="str">
        <f>"55907.178"</f>
        <v>55907.178</v>
      </c>
      <c r="F477" t="str">
        <f>""</f>
        <v/>
      </c>
      <c r="G477" t="str">
        <f>"0.002"</f>
        <v>0.002</v>
      </c>
      <c r="H477" t="str">
        <f>"1.145"</f>
        <v>1.145</v>
      </c>
      <c r="I477" t="str">
        <f>"  33  1H*        :    31  3d6.(1G2).4s.4p.(3P*) 3G*  "</f>
        <v xml:space="preserve">  33  1H*        :    31  3d6.(1G2).4s.4p.(3P*) 3G*  </v>
      </c>
      <c r="J477" t="str">
        <f>""</f>
        <v/>
      </c>
    </row>
    <row r="478" spans="1:10">
      <c r="A478" s="1" t="str">
        <f>"3d6.(3G).4s.4p.(3P*)"</f>
        <v>3d6.(3G).4s.4p.(3P*)</v>
      </c>
      <c r="B478" t="str">
        <f>"1F*"</f>
        <v>1F*</v>
      </c>
      <c r="C478" t="str">
        <f>"3"</f>
        <v>3</v>
      </c>
      <c r="D478" t="str">
        <f>""</f>
        <v/>
      </c>
      <c r="E478" t="str">
        <f>"56097.836"</f>
        <v>56097.836</v>
      </c>
      <c r="F478" t="str">
        <f>""</f>
        <v/>
      </c>
      <c r="G478" t="str">
        <f>"0.002"</f>
        <v>0.002</v>
      </c>
      <c r="H478" t="str">
        <f>"0.857"</f>
        <v>0.857</v>
      </c>
      <c r="I478" t="str">
        <f>"  45             :    25  3d6.(1G2).4s.4p.(3P*) 3G*  "</f>
        <v xml:space="preserve">  45             :    25  3d6.(1G2).4s.4p.(3P*) 3G*  </v>
      </c>
      <c r="J478" t="str">
        <f>""</f>
        <v/>
      </c>
    </row>
    <row r="479" spans="1:10">
      <c r="A479" s="1" t="str">
        <f>"3d7.(4F).6s"</f>
        <v>3d7.(4F).6s</v>
      </c>
      <c r="B479" t="str">
        <f>"5F"</f>
        <v>5F</v>
      </c>
      <c r="C479" t="str">
        <f>"5"</f>
        <v>5</v>
      </c>
      <c r="D479" t="str">
        <f>""</f>
        <v/>
      </c>
      <c r="E479" t="str">
        <f>"56113.887"</f>
        <v>56113.887</v>
      </c>
      <c r="F479" t="str">
        <f>""</f>
        <v/>
      </c>
      <c r="G479" t="str">
        <f>"0.001"</f>
        <v>0.001</v>
      </c>
      <c r="H479" t="str">
        <f>""</f>
        <v/>
      </c>
      <c r="I479" t="str">
        <f t="shared" ref="I479:I499" si="56">"                                                     "</f>
        <v xml:space="preserve">                                                     </v>
      </c>
      <c r="J479" t="str">
        <f>""</f>
        <v/>
      </c>
    </row>
    <row r="480" spans="1:10">
      <c r="A480" s="1" t="str">
        <f>"3d7.(4F).6s"</f>
        <v>3d7.(4F).6s</v>
      </c>
      <c r="B480" t="str">
        <f>"5F"</f>
        <v>5F</v>
      </c>
      <c r="C480" t="str">
        <f>"4"</f>
        <v>4</v>
      </c>
      <c r="D480" t="str">
        <f>""</f>
        <v/>
      </c>
      <c r="E480" t="str">
        <f>"56516.218"</f>
        <v>56516.218</v>
      </c>
      <c r="F480" t="str">
        <f>""</f>
        <v/>
      </c>
      <c r="G480" t="str">
        <f>"0.002"</f>
        <v>0.002</v>
      </c>
      <c r="H480" t="str">
        <f>""</f>
        <v/>
      </c>
      <c r="I480" t="str">
        <f t="shared" si="56"/>
        <v xml:space="preserve">                                                     </v>
      </c>
      <c r="J480" t="str">
        <f>""</f>
        <v/>
      </c>
    </row>
    <row r="481" spans="1:10">
      <c r="A481" s="1" t="str">
        <f>"3d7.(4F).6s"</f>
        <v>3d7.(4F).6s</v>
      </c>
      <c r="B481" t="str">
        <f>"5F"</f>
        <v>5F</v>
      </c>
      <c r="C481" t="str">
        <f>"3"</f>
        <v>3</v>
      </c>
      <c r="D481" t="str">
        <f>""</f>
        <v/>
      </c>
      <c r="E481" t="str">
        <f>"57510.666"</f>
        <v>57510.666</v>
      </c>
      <c r="F481" t="str">
        <f>""</f>
        <v/>
      </c>
      <c r="G481" t="str">
        <f>"0.004"</f>
        <v>0.004</v>
      </c>
      <c r="H481" t="str">
        <f>""</f>
        <v/>
      </c>
      <c r="I481" t="str">
        <f t="shared" si="56"/>
        <v xml:space="preserve">                                                     </v>
      </c>
      <c r="J481" t="str">
        <f>""</f>
        <v/>
      </c>
    </row>
    <row r="482" spans="1:10">
      <c r="A482" s="1" t="str">
        <f>"3d7.(4F).6s"</f>
        <v>3d7.(4F).6s</v>
      </c>
      <c r="B482" t="str">
        <f>"5F"</f>
        <v>5F</v>
      </c>
      <c r="C482" t="str">
        <f>"2"</f>
        <v>2</v>
      </c>
      <c r="D482" t="str">
        <f>""</f>
        <v/>
      </c>
      <c r="E482" t="str">
        <f>"57528.512"</f>
        <v>57528.512</v>
      </c>
      <c r="F482" t="str">
        <f>""</f>
        <v/>
      </c>
      <c r="G482" t="str">
        <f>"0.002"</f>
        <v>0.002</v>
      </c>
      <c r="H482" t="str">
        <f>""</f>
        <v/>
      </c>
      <c r="I482" t="str">
        <f t="shared" si="56"/>
        <v xml:space="preserve">                                                     </v>
      </c>
      <c r="J482" t="str">
        <f>""</f>
        <v/>
      </c>
    </row>
    <row r="483" spans="1:10">
      <c r="A483" s="1" t="str">
        <f>"3d7.(4F).6s"</f>
        <v>3d7.(4F).6s</v>
      </c>
      <c r="B483" t="str">
        <f>"5F"</f>
        <v>5F</v>
      </c>
      <c r="C483" t="str">
        <f>"1"</f>
        <v>1</v>
      </c>
      <c r="D483" t="str">
        <f>""</f>
        <v/>
      </c>
      <c r="E483" t="str">
        <f>"57754.099"</f>
        <v>57754.099</v>
      </c>
      <c r="F483" t="str">
        <f>""</f>
        <v/>
      </c>
      <c r="G483" t="str">
        <f>"0.003"</f>
        <v>0.003</v>
      </c>
      <c r="H483" t="str">
        <f>""</f>
        <v/>
      </c>
      <c r="I483" t="str">
        <f t="shared" si="56"/>
        <v xml:space="preserve">                                                     </v>
      </c>
      <c r="J483" t="str">
        <f>""</f>
        <v/>
      </c>
    </row>
    <row r="484" spans="1:10">
      <c r="A484" s="1" t="str">
        <f>"3d6.4s.(6D).6p"</f>
        <v>3d6.4s.(6D).6p</v>
      </c>
      <c r="B484" t="str">
        <f>"7D*"</f>
        <v>7D*</v>
      </c>
      <c r="C484" t="str">
        <f>"5"</f>
        <v>5</v>
      </c>
      <c r="D484" t="str">
        <f>""</f>
        <v/>
      </c>
      <c r="E484" t="str">
        <f>"56120.331"</f>
        <v>56120.331</v>
      </c>
      <c r="F484" t="str">
        <f>""</f>
        <v/>
      </c>
      <c r="G484" t="str">
        <f>"0.002"</f>
        <v>0.002</v>
      </c>
      <c r="H484" t="str">
        <f>""</f>
        <v/>
      </c>
      <c r="I484" t="str">
        <f t="shared" si="56"/>
        <v xml:space="preserve">                                                     </v>
      </c>
      <c r="J484" t="str">
        <f>""</f>
        <v/>
      </c>
    </row>
    <row r="485" spans="1:10">
      <c r="A485" s="1" t="str">
        <f>"3d6.4s.(6D).6p"</f>
        <v>3d6.4s.(6D).6p</v>
      </c>
      <c r="B485" t="str">
        <f>"7D*"</f>
        <v>7D*</v>
      </c>
      <c r="C485" t="str">
        <f>"4"</f>
        <v>4</v>
      </c>
      <c r="D485" t="str">
        <f>""</f>
        <v/>
      </c>
      <c r="E485" t="str">
        <f>"56516.744"</f>
        <v>56516.744</v>
      </c>
      <c r="F485" t="str">
        <f>""</f>
        <v/>
      </c>
      <c r="G485" t="str">
        <f>"0.003"</f>
        <v>0.003</v>
      </c>
      <c r="H485" t="str">
        <f>""</f>
        <v/>
      </c>
      <c r="I485" t="str">
        <f t="shared" si="56"/>
        <v xml:space="preserve">                                                     </v>
      </c>
      <c r="J485" t="str">
        <f>""</f>
        <v/>
      </c>
    </row>
    <row r="486" spans="1:10">
      <c r="A486" s="1" t="str">
        <f>"3d6.4s.(6D).6p"</f>
        <v>3d6.4s.(6D).6p</v>
      </c>
      <c r="B486" t="str">
        <f>"7D*"</f>
        <v>7D*</v>
      </c>
      <c r="C486" t="str">
        <f>"3"</f>
        <v>3</v>
      </c>
      <c r="D486" t="str">
        <f>""</f>
        <v/>
      </c>
      <c r="E486" t="str">
        <f>"56555.066"</f>
        <v>56555.066</v>
      </c>
      <c r="F486" t="str">
        <f>""</f>
        <v/>
      </c>
      <c r="G486" t="str">
        <f>"0.004"</f>
        <v>0.004</v>
      </c>
      <c r="H486" t="str">
        <f>""</f>
        <v/>
      </c>
      <c r="I486" t="str">
        <f t="shared" si="56"/>
        <v xml:space="preserve">                                                     </v>
      </c>
      <c r="J486" t="str">
        <f>""</f>
        <v/>
      </c>
    </row>
    <row r="487" spans="1:10">
      <c r="A487" s="1" t="str">
        <f>"3d6.4s.(6D).6p"</f>
        <v>3d6.4s.(6D).6p</v>
      </c>
      <c r="B487" t="str">
        <f>"7D*"</f>
        <v>7D*</v>
      </c>
      <c r="C487" t="str">
        <f>"2"</f>
        <v>2</v>
      </c>
      <c r="D487" t="str">
        <f>""</f>
        <v/>
      </c>
      <c r="E487" t="str">
        <f>"56933.382"</f>
        <v>56933.382</v>
      </c>
      <c r="F487" t="str">
        <f>""</f>
        <v/>
      </c>
      <c r="G487" t="str">
        <f>"0.005"</f>
        <v>0.005</v>
      </c>
      <c r="H487" t="str">
        <f>""</f>
        <v/>
      </c>
      <c r="I487" t="str">
        <f t="shared" si="56"/>
        <v xml:space="preserve">                                                     </v>
      </c>
      <c r="J487" t="str">
        <f>""</f>
        <v/>
      </c>
    </row>
    <row r="488" spans="1:10">
      <c r="A488" s="1" t="str">
        <f>"3d6.4s.(6D).6p"</f>
        <v>3d6.4s.(6D).6p</v>
      </c>
      <c r="B488" t="str">
        <f>"7D*"</f>
        <v>7D*</v>
      </c>
      <c r="C488" t="str">
        <f>"1"</f>
        <v>1</v>
      </c>
      <c r="D488" t="str">
        <f>""</f>
        <v/>
      </c>
      <c r="E488" t="str">
        <f>"57164.14"</f>
        <v>57164.14</v>
      </c>
      <c r="F488" t="str">
        <f>""</f>
        <v/>
      </c>
      <c r="G488" t="str">
        <f>"0.005"</f>
        <v>0.005</v>
      </c>
      <c r="H488" t="str">
        <f>""</f>
        <v/>
      </c>
      <c r="I488" t="str">
        <f t="shared" si="56"/>
        <v xml:space="preserve">                                                     </v>
      </c>
      <c r="J488" t="str">
        <f>""</f>
        <v/>
      </c>
    </row>
    <row r="489" spans="1:10">
      <c r="A489" s="1" t="str">
        <f>"3d6.4s.(6D).5d"</f>
        <v>3d6.4s.(6D).5d</v>
      </c>
      <c r="B489" t="str">
        <f>"5D"</f>
        <v>5D</v>
      </c>
      <c r="C489" t="str">
        <f>"4"</f>
        <v>4</v>
      </c>
      <c r="D489" t="str">
        <f>""</f>
        <v/>
      </c>
      <c r="E489" t="str">
        <f>"56207.552"</f>
        <v>56207.552</v>
      </c>
      <c r="F489" t="str">
        <f>""</f>
        <v/>
      </c>
      <c r="G489" t="str">
        <f>"0.002"</f>
        <v>0.002</v>
      </c>
      <c r="H489" t="str">
        <f>""</f>
        <v/>
      </c>
      <c r="I489" t="str">
        <f t="shared" si="56"/>
        <v xml:space="preserve">                                                     </v>
      </c>
      <c r="J489" t="str">
        <f>""</f>
        <v/>
      </c>
    </row>
    <row r="490" spans="1:10">
      <c r="A490" s="1" t="str">
        <f>"3d6.4s.(6D).5d"</f>
        <v>3d6.4s.(6D).5d</v>
      </c>
      <c r="B490" t="str">
        <f>"5D"</f>
        <v>5D</v>
      </c>
      <c r="C490" t="str">
        <f>"3"</f>
        <v>3</v>
      </c>
      <c r="D490" t="str">
        <f>""</f>
        <v/>
      </c>
      <c r="E490" t="str">
        <f>"56337.126"</f>
        <v>56337.126</v>
      </c>
      <c r="F490" t="str">
        <f>""</f>
        <v/>
      </c>
      <c r="G490" t="str">
        <f>"0.002"</f>
        <v>0.002</v>
      </c>
      <c r="H490" t="str">
        <f>""</f>
        <v/>
      </c>
      <c r="I490" t="str">
        <f t="shared" si="56"/>
        <v xml:space="preserve">                                                     </v>
      </c>
      <c r="J490" t="str">
        <f>""</f>
        <v/>
      </c>
    </row>
    <row r="491" spans="1:10">
      <c r="A491" s="1" t="str">
        <f>"3d6.4s.(6D).5d"</f>
        <v>3d6.4s.(6D).5d</v>
      </c>
      <c r="B491" t="str">
        <f>"5D"</f>
        <v>5D</v>
      </c>
      <c r="C491" t="str">
        <f>"2"</f>
        <v>2</v>
      </c>
      <c r="D491" t="str">
        <f>""</f>
        <v/>
      </c>
      <c r="E491" t="str">
        <f>"56479.463"</f>
        <v>56479.463</v>
      </c>
      <c r="F491" t="str">
        <f>""</f>
        <v/>
      </c>
      <c r="G491" t="str">
        <f>"0.002"</f>
        <v>0.002</v>
      </c>
      <c r="H491" t="str">
        <f>""</f>
        <v/>
      </c>
      <c r="I491" t="str">
        <f t="shared" si="56"/>
        <v xml:space="preserve">                                                     </v>
      </c>
      <c r="J491" t="str">
        <f>""</f>
        <v/>
      </c>
    </row>
    <row r="492" spans="1:10">
      <c r="A492" s="1" t="str">
        <f>"3d6.4s.(6D).5d"</f>
        <v>3d6.4s.(6D).5d</v>
      </c>
      <c r="B492" t="str">
        <f>"5D"</f>
        <v>5D</v>
      </c>
      <c r="C492" t="str">
        <f>"1"</f>
        <v>1</v>
      </c>
      <c r="D492" t="str">
        <f>""</f>
        <v/>
      </c>
      <c r="E492" t="str">
        <f>"56735.158"</f>
        <v>56735.158</v>
      </c>
      <c r="F492" t="str">
        <f>""</f>
        <v/>
      </c>
      <c r="G492" t="str">
        <f>"0.003"</f>
        <v>0.003</v>
      </c>
      <c r="H492" t="str">
        <f>""</f>
        <v/>
      </c>
      <c r="I492" t="str">
        <f t="shared" si="56"/>
        <v xml:space="preserve">                                                     </v>
      </c>
      <c r="J492" t="str">
        <f>""</f>
        <v/>
      </c>
    </row>
    <row r="493" spans="1:10">
      <c r="A493" s="1" t="str">
        <f t="shared" ref="A493:A499" si="57">"3d6.4s.(6D).6p"</f>
        <v>3d6.4s.(6D).6p</v>
      </c>
      <c r="B493" t="str">
        <f t="shared" ref="B493:B499" si="58">"7F*"</f>
        <v>7F*</v>
      </c>
      <c r="C493" t="str">
        <f>"6"</f>
        <v>6</v>
      </c>
      <c r="D493" t="str">
        <f>""</f>
        <v/>
      </c>
      <c r="E493" t="str">
        <f>"56260.982"</f>
        <v>56260.982</v>
      </c>
      <c r="F493" t="str">
        <f>""</f>
        <v/>
      </c>
      <c r="G493" t="str">
        <f>"0.003"</f>
        <v>0.003</v>
      </c>
      <c r="H493" t="str">
        <f>""</f>
        <v/>
      </c>
      <c r="I493" t="str">
        <f t="shared" si="56"/>
        <v xml:space="preserve">                                                     </v>
      </c>
      <c r="J493" t="str">
        <f>""</f>
        <v/>
      </c>
    </row>
    <row r="494" spans="1:10">
      <c r="A494" s="1" t="str">
        <f t="shared" si="57"/>
        <v>3d6.4s.(6D).6p</v>
      </c>
      <c r="B494" t="str">
        <f t="shared" si="58"/>
        <v>7F*</v>
      </c>
      <c r="C494" t="str">
        <f>"5"</f>
        <v>5</v>
      </c>
      <c r="D494" t="str">
        <f>""</f>
        <v/>
      </c>
      <c r="E494" t="str">
        <f>"56502.957"</f>
        <v>56502.957</v>
      </c>
      <c r="F494" t="str">
        <f>""</f>
        <v/>
      </c>
      <c r="G494" t="str">
        <f>"0.003"</f>
        <v>0.003</v>
      </c>
      <c r="H494" t="str">
        <f>""</f>
        <v/>
      </c>
      <c r="I494" t="str">
        <f t="shared" si="56"/>
        <v xml:space="preserve">                                                     </v>
      </c>
      <c r="J494" t="str">
        <f>""</f>
        <v/>
      </c>
    </row>
    <row r="495" spans="1:10">
      <c r="A495" s="1" t="str">
        <f t="shared" si="57"/>
        <v>3d6.4s.(6D).6p</v>
      </c>
      <c r="B495" t="str">
        <f t="shared" si="58"/>
        <v>7F*</v>
      </c>
      <c r="C495" t="str">
        <f>"4"</f>
        <v>4</v>
      </c>
      <c r="D495" t="str">
        <f>""</f>
        <v/>
      </c>
      <c r="E495" t="str">
        <f>"56756.704"</f>
        <v>56756.704</v>
      </c>
      <c r="F495" t="str">
        <f>""</f>
        <v/>
      </c>
      <c r="G495" t="str">
        <f>"0.004"</f>
        <v>0.004</v>
      </c>
      <c r="H495" t="str">
        <f>""</f>
        <v/>
      </c>
      <c r="I495" t="str">
        <f t="shared" si="56"/>
        <v xml:space="preserve">                                                     </v>
      </c>
      <c r="J495" t="str">
        <f>""</f>
        <v/>
      </c>
    </row>
    <row r="496" spans="1:10">
      <c r="A496" s="1" t="str">
        <f t="shared" si="57"/>
        <v>3d6.4s.(6D).6p</v>
      </c>
      <c r="B496" t="str">
        <f t="shared" si="58"/>
        <v>7F*</v>
      </c>
      <c r="C496" t="str">
        <f>"3"</f>
        <v>3</v>
      </c>
      <c r="D496" t="str">
        <f>""</f>
        <v/>
      </c>
      <c r="E496" t="str">
        <f>"57026.960"</f>
        <v>57026.960</v>
      </c>
      <c r="F496" t="str">
        <f>""</f>
        <v/>
      </c>
      <c r="G496" t="str">
        <f>"0.004"</f>
        <v>0.004</v>
      </c>
      <c r="H496" t="str">
        <f>""</f>
        <v/>
      </c>
      <c r="I496" t="str">
        <f t="shared" si="56"/>
        <v xml:space="preserve">                                                     </v>
      </c>
      <c r="J496" t="str">
        <f>""</f>
        <v/>
      </c>
    </row>
    <row r="497" spans="1:10">
      <c r="A497" s="1" t="str">
        <f t="shared" si="57"/>
        <v>3d6.4s.(6D).6p</v>
      </c>
      <c r="B497" t="str">
        <f t="shared" si="58"/>
        <v>7F*</v>
      </c>
      <c r="C497" t="str">
        <f>"0"</f>
        <v>0</v>
      </c>
      <c r="D497" t="str">
        <f>""</f>
        <v/>
      </c>
      <c r="E497" t="str">
        <f>"57121.604"</f>
        <v>57121.604</v>
      </c>
      <c r="F497" t="str">
        <f>""</f>
        <v/>
      </c>
      <c r="G497" t="str">
        <f>"0.003"</f>
        <v>0.003</v>
      </c>
      <c r="H497" t="str">
        <f>""</f>
        <v/>
      </c>
      <c r="I497" t="str">
        <f t="shared" si="56"/>
        <v xml:space="preserve">                                                     </v>
      </c>
      <c r="J497" t="str">
        <f>""</f>
        <v/>
      </c>
    </row>
    <row r="498" spans="1:10">
      <c r="A498" s="1" t="str">
        <f t="shared" si="57"/>
        <v>3d6.4s.(6D).6p</v>
      </c>
      <c r="B498" t="str">
        <f t="shared" si="58"/>
        <v>7F*</v>
      </c>
      <c r="C498" t="str">
        <f>"2"</f>
        <v>2</v>
      </c>
      <c r="D498" t="str">
        <f>""</f>
        <v/>
      </c>
      <c r="E498" t="str">
        <f>"57140.424"</f>
        <v>57140.424</v>
      </c>
      <c r="F498" t="str">
        <f>""</f>
        <v/>
      </c>
      <c r="G498" t="str">
        <f>"0.001"</f>
        <v>0.001</v>
      </c>
      <c r="H498" t="str">
        <f>""</f>
        <v/>
      </c>
      <c r="I498" t="str">
        <f t="shared" si="56"/>
        <v xml:space="preserve">                                                     </v>
      </c>
      <c r="J498" t="str">
        <f>""</f>
        <v/>
      </c>
    </row>
    <row r="499" spans="1:10">
      <c r="A499" s="1" t="str">
        <f t="shared" si="57"/>
        <v>3d6.4s.(6D).6p</v>
      </c>
      <c r="B499" t="str">
        <f t="shared" si="58"/>
        <v>7F*</v>
      </c>
      <c r="C499" t="str">
        <f>"1"</f>
        <v>1</v>
      </c>
      <c r="D499" t="str">
        <f>""</f>
        <v/>
      </c>
      <c r="E499" t="str">
        <f>"57174.430"</f>
        <v>57174.430</v>
      </c>
      <c r="F499" t="str">
        <f>""</f>
        <v/>
      </c>
      <c r="G499" t="str">
        <f>"0.002"</f>
        <v>0.002</v>
      </c>
      <c r="H499" t="str">
        <f>""</f>
        <v/>
      </c>
      <c r="I499" t="str">
        <f t="shared" si="56"/>
        <v xml:space="preserve">                                                     </v>
      </c>
      <c r="J499" t="str">
        <f>""</f>
        <v/>
      </c>
    </row>
    <row r="500" spans="1:10">
      <c r="A500" s="1" t="str">
        <f>"3d6.(1I).4s.4p.(3P*)"</f>
        <v>3d6.(1I).4s.4p.(3P*)</v>
      </c>
      <c r="B500" t="str">
        <f>"u 3H*"</f>
        <v>u 3H*</v>
      </c>
      <c r="C500" t="str">
        <f>"6"</f>
        <v>6</v>
      </c>
      <c r="D500" t="str">
        <f>""</f>
        <v/>
      </c>
      <c r="E500" t="str">
        <f>"56333.960"</f>
        <v>56333.960</v>
      </c>
      <c r="F500" t="str">
        <f>""</f>
        <v/>
      </c>
      <c r="G500" t="str">
        <f>"0.003"</f>
        <v>0.003</v>
      </c>
      <c r="H500" t="str">
        <f>"1.166"</f>
        <v>1.166</v>
      </c>
      <c r="I500" t="str">
        <f>"  44             :    47  3d6.(1G2).4s.4p.(3P*) 3H*  "</f>
        <v xml:space="preserve">  44             :    47  3d6.(1G2).4s.4p.(3P*) 3H*  </v>
      </c>
      <c r="J500" t="str">
        <f>""</f>
        <v/>
      </c>
    </row>
    <row r="501" spans="1:10">
      <c r="A501" s="1" t="str">
        <f>"3d6.(1I).4s.4p.(3P*)"</f>
        <v>3d6.(1I).4s.4p.(3P*)</v>
      </c>
      <c r="B501" t="str">
        <f>"u 3H*"</f>
        <v>u 3H*</v>
      </c>
      <c r="C501" t="str">
        <f>"5"</f>
        <v>5</v>
      </c>
      <c r="D501" t="str">
        <f>""</f>
        <v/>
      </c>
      <c r="E501" t="str">
        <f>"56382.662"</f>
        <v>56382.662</v>
      </c>
      <c r="F501" t="str">
        <f>""</f>
        <v/>
      </c>
      <c r="G501" t="str">
        <f>"0.002"</f>
        <v>0.002</v>
      </c>
      <c r="H501" t="str">
        <f>"1.029"</f>
        <v>1.029</v>
      </c>
      <c r="I501" t="str">
        <f>"  46             :    26  3d6.(1G2).4s.4p.(3P*) 3H*  "</f>
        <v xml:space="preserve">  46             :    26  3d6.(1G2).4s.4p.(3P*) 3H*  </v>
      </c>
      <c r="J501" t="str">
        <f>""</f>
        <v/>
      </c>
    </row>
    <row r="502" spans="1:10">
      <c r="A502" s="1" t="str">
        <f>"3d6.(1I).4s.4p.(3P*)"</f>
        <v>3d6.(1I).4s.4p.(3P*)</v>
      </c>
      <c r="B502" t="str">
        <f>"u 3H*"</f>
        <v>u 3H*</v>
      </c>
      <c r="C502" t="str">
        <f>"4"</f>
        <v>4</v>
      </c>
      <c r="D502" t="str">
        <f>""</f>
        <v/>
      </c>
      <c r="E502" t="str">
        <f>"56423.283"</f>
        <v>56423.283</v>
      </c>
      <c r="F502" t="str">
        <f>""</f>
        <v/>
      </c>
      <c r="G502" t="str">
        <f>"0.002"</f>
        <v>0.002</v>
      </c>
      <c r="H502" t="str">
        <f>"0.859"</f>
        <v>0.859</v>
      </c>
      <c r="I502" t="str">
        <f>"  50             :    18  3d6.(3H).4s.4p.(1P*)  3H*  "</f>
        <v xml:space="preserve">  50             :    18  3d6.(3H).4s.4p.(1P*)  3H*  </v>
      </c>
      <c r="J502" t="str">
        <f>""</f>
        <v/>
      </c>
    </row>
    <row r="503" spans="1:10">
      <c r="A503" s="1" t="str">
        <f t="shared" ref="A503:A528" si="59">"3d6.4s.(6D).5d"</f>
        <v>3d6.4s.(6D).5d</v>
      </c>
      <c r="B503" t="str">
        <f>"5G"</f>
        <v>5G</v>
      </c>
      <c r="C503" t="str">
        <f>"6"</f>
        <v>6</v>
      </c>
      <c r="D503" t="str">
        <f>""</f>
        <v/>
      </c>
      <c r="E503" t="str">
        <f>"56341.860"</f>
        <v>56341.860</v>
      </c>
      <c r="F503" t="str">
        <f>""</f>
        <v/>
      </c>
      <c r="G503" t="str">
        <f>"0.002"</f>
        <v>0.002</v>
      </c>
      <c r="H503" t="str">
        <f>""</f>
        <v/>
      </c>
      <c r="I503" t="str">
        <f t="shared" ref="I503:I531" si="60">"                                                     "</f>
        <v xml:space="preserve">                                                     </v>
      </c>
      <c r="J503" t="str">
        <f>""</f>
        <v/>
      </c>
    </row>
    <row r="504" spans="1:10">
      <c r="A504" s="1" t="str">
        <f t="shared" si="59"/>
        <v>3d6.4s.(6D).5d</v>
      </c>
      <c r="B504" t="str">
        <f>"5G"</f>
        <v>5G</v>
      </c>
      <c r="C504" t="str">
        <f>"5"</f>
        <v>5</v>
      </c>
      <c r="D504" t="str">
        <f>""</f>
        <v/>
      </c>
      <c r="E504" t="str">
        <f>"56550.634"</f>
        <v>56550.634</v>
      </c>
      <c r="F504" t="str">
        <f>""</f>
        <v/>
      </c>
      <c r="G504" t="str">
        <f>"0.001"</f>
        <v>0.001</v>
      </c>
      <c r="H504" t="str">
        <f>""</f>
        <v/>
      </c>
      <c r="I504" t="str">
        <f t="shared" si="60"/>
        <v xml:space="preserve">                                                     </v>
      </c>
      <c r="J504" t="str">
        <f>""</f>
        <v/>
      </c>
    </row>
    <row r="505" spans="1:10">
      <c r="A505" s="1" t="str">
        <f t="shared" si="59"/>
        <v>3d6.4s.(6D).5d</v>
      </c>
      <c r="B505" t="str">
        <f>"5G"</f>
        <v>5G</v>
      </c>
      <c r="C505" t="str">
        <f>"4"</f>
        <v>4</v>
      </c>
      <c r="D505" t="str">
        <f>""</f>
        <v/>
      </c>
      <c r="E505" t="str">
        <f>"56673.145"</f>
        <v>56673.145</v>
      </c>
      <c r="F505" t="str">
        <f>""</f>
        <v/>
      </c>
      <c r="G505" t="str">
        <f>"0.002"</f>
        <v>0.002</v>
      </c>
      <c r="H505" t="str">
        <f>""</f>
        <v/>
      </c>
      <c r="I505" t="str">
        <f t="shared" si="60"/>
        <v xml:space="preserve">                                                     </v>
      </c>
      <c r="J505" t="str">
        <f>""</f>
        <v/>
      </c>
    </row>
    <row r="506" spans="1:10">
      <c r="A506" s="1" t="str">
        <f t="shared" si="59"/>
        <v>3d6.4s.(6D).5d</v>
      </c>
      <c r="B506" t="str">
        <f>"5G"</f>
        <v>5G</v>
      </c>
      <c r="C506" t="str">
        <f>"3"</f>
        <v>3</v>
      </c>
      <c r="D506" t="str">
        <f>""</f>
        <v/>
      </c>
      <c r="E506" t="str">
        <f>"57055.616"</f>
        <v>57055.616</v>
      </c>
      <c r="F506" t="str">
        <f>""</f>
        <v/>
      </c>
      <c r="G506" t="str">
        <f>"0.002"</f>
        <v>0.002</v>
      </c>
      <c r="H506" t="str">
        <f>""</f>
        <v/>
      </c>
      <c r="I506" t="str">
        <f t="shared" si="60"/>
        <v xml:space="preserve">                                                     </v>
      </c>
      <c r="J506" t="str">
        <f>""</f>
        <v/>
      </c>
    </row>
    <row r="507" spans="1:10">
      <c r="A507" s="1" t="str">
        <f t="shared" si="59"/>
        <v>3d6.4s.(6D).5d</v>
      </c>
      <c r="B507" t="str">
        <f>"5G"</f>
        <v>5G</v>
      </c>
      <c r="C507" t="str">
        <f>"2"</f>
        <v>2</v>
      </c>
      <c r="D507" t="str">
        <f>""</f>
        <v/>
      </c>
      <c r="E507" t="str">
        <f>"57233.843"</f>
        <v>57233.843</v>
      </c>
      <c r="F507" t="str">
        <f>""</f>
        <v/>
      </c>
      <c r="G507" t="str">
        <f>"0.002"</f>
        <v>0.002</v>
      </c>
      <c r="H507" t="str">
        <f>""</f>
        <v/>
      </c>
      <c r="I507" t="str">
        <f t="shared" si="60"/>
        <v xml:space="preserve">                                                     </v>
      </c>
      <c r="J507" t="str">
        <f>""</f>
        <v/>
      </c>
    </row>
    <row r="508" spans="1:10">
      <c r="A508" s="1" t="str">
        <f t="shared" si="59"/>
        <v>3d6.4s.(6D).5d</v>
      </c>
      <c r="B508" t="str">
        <f t="shared" ref="B508:B513" si="61">"7F"</f>
        <v>7F</v>
      </c>
      <c r="C508" t="str">
        <f>"6"</f>
        <v>6</v>
      </c>
      <c r="D508" t="str">
        <f>""</f>
        <v/>
      </c>
      <c r="E508" t="str">
        <f>"56427.977"</f>
        <v>56427.977</v>
      </c>
      <c r="F508" t="str">
        <f>""</f>
        <v/>
      </c>
      <c r="G508" t="str">
        <f>"0.002"</f>
        <v>0.002</v>
      </c>
      <c r="H508" t="str">
        <f>""</f>
        <v/>
      </c>
      <c r="I508" t="str">
        <f t="shared" si="60"/>
        <v xml:space="preserve">                                                     </v>
      </c>
      <c r="J508" t="str">
        <f>""</f>
        <v/>
      </c>
    </row>
    <row r="509" spans="1:10">
      <c r="A509" s="1" t="str">
        <f t="shared" si="59"/>
        <v>3d6.4s.(6D).5d</v>
      </c>
      <c r="B509" t="str">
        <f t="shared" si="61"/>
        <v>7F</v>
      </c>
      <c r="C509" t="str">
        <f>"5"</f>
        <v>5</v>
      </c>
      <c r="D509" t="str">
        <f>""</f>
        <v/>
      </c>
      <c r="E509" t="str">
        <f>"56842.733"</f>
        <v>56842.733</v>
      </c>
      <c r="F509" t="str">
        <f>""</f>
        <v/>
      </c>
      <c r="G509" t="str">
        <f>"0.001"</f>
        <v>0.001</v>
      </c>
      <c r="H509" t="str">
        <f>""</f>
        <v/>
      </c>
      <c r="I509" t="str">
        <f t="shared" si="60"/>
        <v xml:space="preserve">                                                     </v>
      </c>
      <c r="J509" t="str">
        <f>""</f>
        <v/>
      </c>
    </row>
    <row r="510" spans="1:10">
      <c r="A510" s="1" t="str">
        <f t="shared" si="59"/>
        <v>3d6.4s.(6D).5d</v>
      </c>
      <c r="B510" t="str">
        <f t="shared" si="61"/>
        <v>7F</v>
      </c>
      <c r="C510" t="str">
        <f>"2"</f>
        <v>2</v>
      </c>
      <c r="D510" t="str">
        <f>""</f>
        <v/>
      </c>
      <c r="E510" t="str">
        <f>"57029.614"</f>
        <v>57029.614</v>
      </c>
      <c r="F510" t="str">
        <f>""</f>
        <v/>
      </c>
      <c r="G510" t="str">
        <f>"0.003"</f>
        <v>0.003</v>
      </c>
      <c r="H510" t="str">
        <f>""</f>
        <v/>
      </c>
      <c r="I510" t="str">
        <f t="shared" si="60"/>
        <v xml:space="preserve">                                                     </v>
      </c>
      <c r="J510" t="str">
        <f>""</f>
        <v/>
      </c>
    </row>
    <row r="511" spans="1:10">
      <c r="A511" s="1" t="str">
        <f t="shared" si="59"/>
        <v>3d6.4s.(6D).5d</v>
      </c>
      <c r="B511" t="str">
        <f t="shared" si="61"/>
        <v>7F</v>
      </c>
      <c r="C511" t="str">
        <f>"3"</f>
        <v>3</v>
      </c>
      <c r="D511" t="str">
        <f>""</f>
        <v/>
      </c>
      <c r="E511" t="str">
        <f>"57084.281"</f>
        <v>57084.281</v>
      </c>
      <c r="F511" t="str">
        <f>""</f>
        <v/>
      </c>
      <c r="G511" t="str">
        <f t="shared" ref="G511:G518" si="62">"0.002"</f>
        <v>0.002</v>
      </c>
      <c r="H511" t="str">
        <f>""</f>
        <v/>
      </c>
      <c r="I511" t="str">
        <f t="shared" si="60"/>
        <v xml:space="preserve">                                                     </v>
      </c>
      <c r="J511" t="str">
        <f>""</f>
        <v/>
      </c>
    </row>
    <row r="512" spans="1:10">
      <c r="A512" s="1" t="str">
        <f t="shared" si="59"/>
        <v>3d6.4s.(6D).5d</v>
      </c>
      <c r="B512" t="str">
        <f t="shared" si="61"/>
        <v>7F</v>
      </c>
      <c r="C512" t="str">
        <f>"1"</f>
        <v>1</v>
      </c>
      <c r="D512" t="str">
        <f>""</f>
        <v/>
      </c>
      <c r="E512" t="str">
        <f>"57213.744"</f>
        <v>57213.744</v>
      </c>
      <c r="F512" t="str">
        <f>""</f>
        <v/>
      </c>
      <c r="G512" t="str">
        <f t="shared" si="62"/>
        <v>0.002</v>
      </c>
      <c r="H512" t="str">
        <f>""</f>
        <v/>
      </c>
      <c r="I512" t="str">
        <f t="shared" si="60"/>
        <v xml:space="preserve">                                                     </v>
      </c>
      <c r="J512" t="str">
        <f>""</f>
        <v/>
      </c>
    </row>
    <row r="513" spans="1:10">
      <c r="A513" s="1" t="str">
        <f t="shared" si="59"/>
        <v>3d6.4s.(6D).5d</v>
      </c>
      <c r="B513" t="str">
        <f t="shared" si="61"/>
        <v>7F</v>
      </c>
      <c r="C513" t="str">
        <f>"4"</f>
        <v>4</v>
      </c>
      <c r="D513" t="str">
        <f>""</f>
        <v/>
      </c>
      <c r="E513" t="str">
        <f>"57307.320"</f>
        <v>57307.320</v>
      </c>
      <c r="F513" t="str">
        <f>""</f>
        <v/>
      </c>
      <c r="G513" t="str">
        <f t="shared" si="62"/>
        <v>0.002</v>
      </c>
      <c r="H513" t="str">
        <f>""</f>
        <v/>
      </c>
      <c r="I513" t="str">
        <f t="shared" si="60"/>
        <v xml:space="preserve">                                                     </v>
      </c>
      <c r="J513" t="str">
        <f>""</f>
        <v/>
      </c>
    </row>
    <row r="514" spans="1:10">
      <c r="A514" s="1" t="str">
        <f t="shared" si="59"/>
        <v>3d6.4s.(6D).5d</v>
      </c>
      <c r="B514" t="str">
        <f>"7D"</f>
        <v>7D</v>
      </c>
      <c r="C514" t="str">
        <f>"5"</f>
        <v>5</v>
      </c>
      <c r="D514" t="str">
        <f>""</f>
        <v/>
      </c>
      <c r="E514" t="str">
        <f>"56432.021"</f>
        <v>56432.021</v>
      </c>
      <c r="F514" t="str">
        <f>""</f>
        <v/>
      </c>
      <c r="G514" t="str">
        <f t="shared" si="62"/>
        <v>0.002</v>
      </c>
      <c r="H514" t="str">
        <f>""</f>
        <v/>
      </c>
      <c r="I514" t="str">
        <f t="shared" si="60"/>
        <v xml:space="preserve">                                                     </v>
      </c>
      <c r="J514" t="str">
        <f>""</f>
        <v/>
      </c>
    </row>
    <row r="515" spans="1:10">
      <c r="A515" s="1" t="str">
        <f t="shared" si="59"/>
        <v>3d6.4s.(6D).5d</v>
      </c>
      <c r="B515" t="str">
        <f>"7D"</f>
        <v>7D</v>
      </c>
      <c r="C515" t="str">
        <f>"4"</f>
        <v>4</v>
      </c>
      <c r="D515" t="str">
        <f>""</f>
        <v/>
      </c>
      <c r="E515" t="str">
        <f>"56452.018"</f>
        <v>56452.018</v>
      </c>
      <c r="F515" t="str">
        <f>""</f>
        <v/>
      </c>
      <c r="G515" t="str">
        <f t="shared" si="62"/>
        <v>0.002</v>
      </c>
      <c r="H515" t="str">
        <f>""</f>
        <v/>
      </c>
      <c r="I515" t="str">
        <f t="shared" si="60"/>
        <v xml:space="preserve">                                                     </v>
      </c>
      <c r="J515" t="str">
        <f>""</f>
        <v/>
      </c>
    </row>
    <row r="516" spans="1:10">
      <c r="A516" s="1" t="str">
        <f t="shared" si="59"/>
        <v>3d6.4s.(6D).5d</v>
      </c>
      <c r="B516" t="str">
        <f>"7D"</f>
        <v>7D</v>
      </c>
      <c r="C516" t="str">
        <f>"2"</f>
        <v>2</v>
      </c>
      <c r="D516" t="str">
        <f>""</f>
        <v/>
      </c>
      <c r="E516" t="str">
        <f>"56842.811"</f>
        <v>56842.811</v>
      </c>
      <c r="F516" t="str">
        <f>""</f>
        <v/>
      </c>
      <c r="G516" t="str">
        <f t="shared" si="62"/>
        <v>0.002</v>
      </c>
      <c r="H516" t="str">
        <f>""</f>
        <v/>
      </c>
      <c r="I516" t="str">
        <f t="shared" si="60"/>
        <v xml:space="preserve">                                                     </v>
      </c>
      <c r="J516" t="str">
        <f>""</f>
        <v/>
      </c>
    </row>
    <row r="517" spans="1:10">
      <c r="A517" s="1" t="str">
        <f t="shared" si="59"/>
        <v>3d6.4s.(6D).5d</v>
      </c>
      <c r="B517" t="str">
        <f>"7D"</f>
        <v>7D</v>
      </c>
      <c r="C517" t="str">
        <f>"1"</f>
        <v>1</v>
      </c>
      <c r="D517" t="str">
        <f>""</f>
        <v/>
      </c>
      <c r="E517" t="str">
        <f>"57004.359"</f>
        <v>57004.359</v>
      </c>
      <c r="F517" t="str">
        <f>""</f>
        <v/>
      </c>
      <c r="G517" t="str">
        <f t="shared" si="62"/>
        <v>0.002</v>
      </c>
      <c r="H517" t="str">
        <f>""</f>
        <v/>
      </c>
      <c r="I517" t="str">
        <f t="shared" si="60"/>
        <v xml:space="preserve">                                                     </v>
      </c>
      <c r="J517" t="str">
        <f>""</f>
        <v/>
      </c>
    </row>
    <row r="518" spans="1:10">
      <c r="A518" s="1" t="str">
        <f t="shared" si="59"/>
        <v>3d6.4s.(6D).5d</v>
      </c>
      <c r="B518" t="str">
        <f>"7D"</f>
        <v>7D</v>
      </c>
      <c r="C518" t="str">
        <f>"3"</f>
        <v>3</v>
      </c>
      <c r="D518" t="str">
        <f>""</f>
        <v/>
      </c>
      <c r="E518" t="str">
        <f>"57070.371"</f>
        <v>57070.371</v>
      </c>
      <c r="F518" t="str">
        <f>""</f>
        <v/>
      </c>
      <c r="G518" t="str">
        <f t="shared" si="62"/>
        <v>0.002</v>
      </c>
      <c r="H518" t="str">
        <f>""</f>
        <v/>
      </c>
      <c r="I518" t="str">
        <f t="shared" si="60"/>
        <v xml:space="preserve">                                                     </v>
      </c>
      <c r="J518" t="str">
        <f>""</f>
        <v/>
      </c>
    </row>
    <row r="519" spans="1:10">
      <c r="A519" s="1" t="str">
        <f t="shared" si="59"/>
        <v>3d6.4s.(6D).5d</v>
      </c>
      <c r="B519" t="str">
        <f>"7P"</f>
        <v>7P</v>
      </c>
      <c r="C519" t="str">
        <f>"3"</f>
        <v>3</v>
      </c>
      <c r="D519" t="str">
        <f>""</f>
        <v/>
      </c>
      <c r="E519" t="str">
        <f>"56462.016"</f>
        <v>56462.016</v>
      </c>
      <c r="F519" t="str">
        <f>""</f>
        <v/>
      </c>
      <c r="G519" t="str">
        <f>"0.003"</f>
        <v>0.003</v>
      </c>
      <c r="H519" t="str">
        <f>""</f>
        <v/>
      </c>
      <c r="I519" t="str">
        <f t="shared" si="60"/>
        <v xml:space="preserve">                                                     </v>
      </c>
      <c r="J519" t="str">
        <f>""</f>
        <v/>
      </c>
    </row>
    <row r="520" spans="1:10">
      <c r="A520" s="1" t="str">
        <f t="shared" si="59"/>
        <v>3d6.4s.(6D).5d</v>
      </c>
      <c r="B520" t="str">
        <f>"7P"</f>
        <v>7P</v>
      </c>
      <c r="C520" t="str">
        <f>"4"</f>
        <v>4</v>
      </c>
      <c r="D520" t="str">
        <f>""</f>
        <v/>
      </c>
      <c r="E520" t="str">
        <f>"56844.475"</f>
        <v>56844.475</v>
      </c>
      <c r="F520" t="str">
        <f>""</f>
        <v/>
      </c>
      <c r="G520" t="str">
        <f>"0.002"</f>
        <v>0.002</v>
      </c>
      <c r="H520" t="str">
        <f>""</f>
        <v/>
      </c>
      <c r="I520" t="str">
        <f t="shared" si="60"/>
        <v xml:space="preserve">                                                     </v>
      </c>
      <c r="J520" t="str">
        <f>""</f>
        <v/>
      </c>
    </row>
    <row r="521" spans="1:10">
      <c r="A521" s="1" t="str">
        <f t="shared" si="59"/>
        <v>3d6.4s.(6D).5d</v>
      </c>
      <c r="B521" t="str">
        <f>"7P"</f>
        <v>7P</v>
      </c>
      <c r="C521" t="str">
        <f>"2"</f>
        <v>2</v>
      </c>
      <c r="D521" t="str">
        <f>""</f>
        <v/>
      </c>
      <c r="E521" t="str">
        <f>"57291.238"</f>
        <v>57291.238</v>
      </c>
      <c r="F521" t="str">
        <f>""</f>
        <v/>
      </c>
      <c r="G521" t="str">
        <f>"0.002"</f>
        <v>0.002</v>
      </c>
      <c r="H521" t="str">
        <f>""</f>
        <v/>
      </c>
      <c r="I521" t="str">
        <f t="shared" si="60"/>
        <v xml:space="preserve">                                                     </v>
      </c>
      <c r="J521" t="str">
        <f>""</f>
        <v/>
      </c>
    </row>
    <row r="522" spans="1:10">
      <c r="A522" s="1" t="str">
        <f t="shared" si="59"/>
        <v>3d6.4s.(6D).5d</v>
      </c>
      <c r="B522" t="str">
        <f t="shared" ref="B522:B528" si="63">"7G"</f>
        <v>7G</v>
      </c>
      <c r="C522" t="str">
        <f>"7"</f>
        <v>7</v>
      </c>
      <c r="D522" t="str">
        <f>""</f>
        <v/>
      </c>
      <c r="E522" t="str">
        <f>"56536.048"</f>
        <v>56536.048</v>
      </c>
      <c r="F522" t="str">
        <f>""</f>
        <v/>
      </c>
      <c r="G522" t="str">
        <f>"0.003"</f>
        <v>0.003</v>
      </c>
      <c r="H522" t="str">
        <f>""</f>
        <v/>
      </c>
      <c r="I522" t="str">
        <f t="shared" si="60"/>
        <v xml:space="preserve">                                                     </v>
      </c>
      <c r="J522" t="str">
        <f>""</f>
        <v/>
      </c>
    </row>
    <row r="523" spans="1:10">
      <c r="A523" s="1" t="str">
        <f t="shared" si="59"/>
        <v>3d6.4s.(6D).5d</v>
      </c>
      <c r="B523" t="str">
        <f t="shared" si="63"/>
        <v>7G</v>
      </c>
      <c r="C523" t="str">
        <f>"6"</f>
        <v>6</v>
      </c>
      <c r="D523" t="str">
        <f>""</f>
        <v/>
      </c>
      <c r="E523" t="str">
        <f>"56874.916"</f>
        <v>56874.916</v>
      </c>
      <c r="F523" t="str">
        <f>""</f>
        <v/>
      </c>
      <c r="G523" t="str">
        <f>"0.002"</f>
        <v>0.002</v>
      </c>
      <c r="H523" t="str">
        <f>""</f>
        <v/>
      </c>
      <c r="I523" t="str">
        <f t="shared" si="60"/>
        <v xml:space="preserve">                                                     </v>
      </c>
      <c r="J523" t="str">
        <f>""</f>
        <v/>
      </c>
    </row>
    <row r="524" spans="1:10">
      <c r="A524" s="1" t="str">
        <f t="shared" si="59"/>
        <v>3d6.4s.(6D).5d</v>
      </c>
      <c r="B524" t="str">
        <f t="shared" si="63"/>
        <v>7G</v>
      </c>
      <c r="C524" t="str">
        <f>"5"</f>
        <v>5</v>
      </c>
      <c r="D524" t="str">
        <f>""</f>
        <v/>
      </c>
      <c r="E524" t="str">
        <f>"57126.823"</f>
        <v>57126.823</v>
      </c>
      <c r="F524" t="str">
        <f>""</f>
        <v/>
      </c>
      <c r="G524" t="str">
        <f>"0.002"</f>
        <v>0.002</v>
      </c>
      <c r="H524" t="str">
        <f>""</f>
        <v/>
      </c>
      <c r="I524" t="str">
        <f t="shared" si="60"/>
        <v xml:space="preserve">                                                     </v>
      </c>
      <c r="J524" t="str">
        <f>""</f>
        <v/>
      </c>
    </row>
    <row r="525" spans="1:10">
      <c r="A525" s="1" t="str">
        <f t="shared" si="59"/>
        <v>3d6.4s.(6D).5d</v>
      </c>
      <c r="B525" t="str">
        <f t="shared" si="63"/>
        <v>7G</v>
      </c>
      <c r="C525" t="str">
        <f>"4"</f>
        <v>4</v>
      </c>
      <c r="D525" t="str">
        <f>""</f>
        <v/>
      </c>
      <c r="E525" t="str">
        <f>"57155.857"</f>
        <v>57155.857</v>
      </c>
      <c r="F525" t="str">
        <f>""</f>
        <v/>
      </c>
      <c r="G525" t="str">
        <f>"0.001"</f>
        <v>0.001</v>
      </c>
      <c r="H525" t="str">
        <f>""</f>
        <v/>
      </c>
      <c r="I525" t="str">
        <f t="shared" si="60"/>
        <v xml:space="preserve">                                                     </v>
      </c>
      <c r="J525" t="str">
        <f>""</f>
        <v/>
      </c>
    </row>
    <row r="526" spans="1:10">
      <c r="A526" s="1" t="str">
        <f t="shared" si="59"/>
        <v>3d6.4s.(6D).5d</v>
      </c>
      <c r="B526" t="str">
        <f t="shared" si="63"/>
        <v>7G</v>
      </c>
      <c r="C526" t="str">
        <f>"1"</f>
        <v>1</v>
      </c>
      <c r="D526" t="str">
        <f>""</f>
        <v/>
      </c>
      <c r="E526" t="str">
        <f>"57320.347"</f>
        <v>57320.347</v>
      </c>
      <c r="F526" t="str">
        <f>""</f>
        <v/>
      </c>
      <c r="G526" t="str">
        <f>"0.003"</f>
        <v>0.003</v>
      </c>
      <c r="H526" t="str">
        <f>""</f>
        <v/>
      </c>
      <c r="I526" t="str">
        <f t="shared" si="60"/>
        <v xml:space="preserve">                                                     </v>
      </c>
      <c r="J526" t="str">
        <f>""</f>
        <v/>
      </c>
    </row>
    <row r="527" spans="1:10">
      <c r="A527" s="1" t="str">
        <f t="shared" si="59"/>
        <v>3d6.4s.(6D).5d</v>
      </c>
      <c r="B527" t="str">
        <f t="shared" si="63"/>
        <v>7G</v>
      </c>
      <c r="C527" t="str">
        <f>"3"</f>
        <v>3</v>
      </c>
      <c r="D527" t="str">
        <f>""</f>
        <v/>
      </c>
      <c r="E527" t="str">
        <f>"57361.366"</f>
        <v>57361.366</v>
      </c>
      <c r="F527" t="str">
        <f>""</f>
        <v/>
      </c>
      <c r="G527" t="str">
        <f>"0.002"</f>
        <v>0.002</v>
      </c>
      <c r="H527" t="str">
        <f>""</f>
        <v/>
      </c>
      <c r="I527" t="str">
        <f t="shared" si="60"/>
        <v xml:space="preserve">                                                     </v>
      </c>
      <c r="J527" t="str">
        <f>""</f>
        <v/>
      </c>
    </row>
    <row r="528" spans="1:10">
      <c r="A528" s="1" t="str">
        <f t="shared" si="59"/>
        <v>3d6.4s.(6D).5d</v>
      </c>
      <c r="B528" t="str">
        <f t="shared" si="63"/>
        <v>7G</v>
      </c>
      <c r="C528" t="str">
        <f>"2"</f>
        <v>2</v>
      </c>
      <c r="D528" t="str">
        <f>""</f>
        <v/>
      </c>
      <c r="E528" t="str">
        <f>"57450.664"</f>
        <v>57450.664</v>
      </c>
      <c r="F528" t="str">
        <f>""</f>
        <v/>
      </c>
      <c r="G528" t="str">
        <f>"0.002"</f>
        <v>0.002</v>
      </c>
      <c r="H528" t="str">
        <f>""</f>
        <v/>
      </c>
      <c r="I528" t="str">
        <f t="shared" si="60"/>
        <v xml:space="preserve">                                                     </v>
      </c>
      <c r="J528" t="str">
        <f>""</f>
        <v/>
      </c>
    </row>
    <row r="529" spans="1:10">
      <c r="A529" s="1" t="str">
        <f>"3d6.4s.(6D).6p"</f>
        <v>3d6.4s.(6D).6p</v>
      </c>
      <c r="B529" t="str">
        <f>"7P*"</f>
        <v>7P*</v>
      </c>
      <c r="C529" t="str">
        <f>"4"</f>
        <v>4</v>
      </c>
      <c r="D529" t="str">
        <f>""</f>
        <v/>
      </c>
      <c r="E529" t="str">
        <f>"56541.596"</f>
        <v>56541.596</v>
      </c>
      <c r="F529" t="str">
        <f>""</f>
        <v/>
      </c>
      <c r="G529" t="str">
        <f>"0.003"</f>
        <v>0.003</v>
      </c>
      <c r="H529" t="str">
        <f>""</f>
        <v/>
      </c>
      <c r="I529" t="str">
        <f t="shared" si="60"/>
        <v xml:space="preserve">                                                     </v>
      </c>
      <c r="J529" t="str">
        <f>""</f>
        <v/>
      </c>
    </row>
    <row r="530" spans="1:10">
      <c r="A530" s="1" t="str">
        <f>"3d6.4s.(6D).6p"</f>
        <v>3d6.4s.(6D).6p</v>
      </c>
      <c r="B530" t="str">
        <f>"7P*"</f>
        <v>7P*</v>
      </c>
      <c r="C530" t="str">
        <f>"3"</f>
        <v>3</v>
      </c>
      <c r="D530" t="str">
        <f>""</f>
        <v/>
      </c>
      <c r="E530" t="str">
        <f>"56888.423"</f>
        <v>56888.423</v>
      </c>
      <c r="F530" t="str">
        <f>""</f>
        <v/>
      </c>
      <c r="G530" t="str">
        <f>"0.002"</f>
        <v>0.002</v>
      </c>
      <c r="H530" t="str">
        <f>""</f>
        <v/>
      </c>
      <c r="I530" t="str">
        <f t="shared" si="60"/>
        <v xml:space="preserve">                                                     </v>
      </c>
      <c r="J530" t="str">
        <f>""</f>
        <v/>
      </c>
    </row>
    <row r="531" spans="1:10">
      <c r="A531" s="1" t="str">
        <f>"3d6.4s.(6D).6p"</f>
        <v>3d6.4s.(6D).6p</v>
      </c>
      <c r="B531" t="str">
        <f>"7P*"</f>
        <v>7P*</v>
      </c>
      <c r="C531" t="str">
        <f>"2"</f>
        <v>2</v>
      </c>
      <c r="D531" t="str">
        <f>""</f>
        <v/>
      </c>
      <c r="E531" t="str">
        <f>"57190.212"</f>
        <v>57190.212</v>
      </c>
      <c r="F531" t="str">
        <f>""</f>
        <v/>
      </c>
      <c r="G531" t="str">
        <f>"0.002"</f>
        <v>0.002</v>
      </c>
      <c r="H531" t="str">
        <f>""</f>
        <v/>
      </c>
      <c r="I531" t="str">
        <f t="shared" si="60"/>
        <v xml:space="preserve">                                                     </v>
      </c>
      <c r="J531" t="str">
        <f>""</f>
        <v/>
      </c>
    </row>
    <row r="532" spans="1:10">
      <c r="A532" s="1" t="str">
        <f>"3d6.(1G2).4s.4p.(3P*)"</f>
        <v>3d6.(1G2).4s.4p.(3P*)</v>
      </c>
      <c r="B532" t="str">
        <f>"u 3F*"</f>
        <v>u 3F*</v>
      </c>
      <c r="C532" t="str">
        <f>"4"</f>
        <v>4</v>
      </c>
      <c r="D532" t="str">
        <f>""</f>
        <v/>
      </c>
      <c r="E532" t="str">
        <f>"56592.703"</f>
        <v>56592.703</v>
      </c>
      <c r="F532" t="str">
        <f>""</f>
        <v/>
      </c>
      <c r="G532" t="str">
        <f>"0.002"</f>
        <v>0.002</v>
      </c>
      <c r="H532" t="str">
        <f>"1.148"</f>
        <v>1.148</v>
      </c>
      <c r="I532" t="str">
        <f>"  47             :    17  3d7.(2D2).4p          3F*  "</f>
        <v xml:space="preserve">  47             :    17  3d7.(2D2).4p          3F*  </v>
      </c>
      <c r="J532" t="str">
        <f>""</f>
        <v/>
      </c>
    </row>
    <row r="533" spans="1:10">
      <c r="A533" s="1" t="str">
        <f>"3d6.(1G2).4s.4p.(3P*)"</f>
        <v>3d6.(1G2).4s.4p.(3P*)</v>
      </c>
      <c r="B533" t="str">
        <f>"u 3F*"</f>
        <v>u 3F*</v>
      </c>
      <c r="C533" t="str">
        <f>"3"</f>
        <v>3</v>
      </c>
      <c r="D533" t="str">
        <f>""</f>
        <v/>
      </c>
      <c r="E533" t="str">
        <f>"56783.322"</f>
        <v>56783.322</v>
      </c>
      <c r="F533" t="str">
        <f>""</f>
        <v/>
      </c>
      <c r="G533" t="str">
        <f>"0.002"</f>
        <v>0.002</v>
      </c>
      <c r="H533" t="str">
        <f>"1.077"</f>
        <v>1.077</v>
      </c>
      <c r="I533" t="str">
        <f>"  54             :    20  3d7.(2D2).4p          3F*  "</f>
        <v xml:space="preserve">  54             :    20  3d7.(2D2).4p          3F*  </v>
      </c>
      <c r="J533" t="str">
        <f>""</f>
        <v/>
      </c>
    </row>
    <row r="534" spans="1:10">
      <c r="A534" s="1" t="str">
        <f>"3d6.(1G2).4s.4p.(3P*)"</f>
        <v>3d6.(1G2).4s.4p.(3P*)</v>
      </c>
      <c r="B534" t="str">
        <f>"u 3F*"</f>
        <v>u 3F*</v>
      </c>
      <c r="C534" t="str">
        <f>"2"</f>
        <v>2</v>
      </c>
      <c r="D534" t="str">
        <f>""</f>
        <v/>
      </c>
      <c r="E534" t="str">
        <f>"56858.653"</f>
        <v>56858.653</v>
      </c>
      <c r="F534" t="str">
        <f>""</f>
        <v/>
      </c>
      <c r="G534" t="str">
        <f>"0.003"</f>
        <v>0.003</v>
      </c>
      <c r="H534" t="str">
        <f>"0.687"</f>
        <v>0.687</v>
      </c>
      <c r="I534" t="str">
        <f>"  47             :    26  3d7.(2D2).4p          3F*  "</f>
        <v xml:space="preserve">  47             :    26  3d7.(2D2).4p          3F*  </v>
      </c>
      <c r="J534" t="str">
        <f>""</f>
        <v/>
      </c>
    </row>
    <row r="535" spans="1:10">
      <c r="A535" s="1" t="str">
        <f>"3d6.4s.(6D).6p"</f>
        <v>3d6.4s.(6D).6p</v>
      </c>
      <c r="B535" t="str">
        <f>"5F*"</f>
        <v>5F*</v>
      </c>
      <c r="C535" t="str">
        <f>"5"</f>
        <v>5</v>
      </c>
      <c r="D535" t="str">
        <f>""</f>
        <v/>
      </c>
      <c r="E535" t="str">
        <f>"56707.284"</f>
        <v>56707.284</v>
      </c>
      <c r="F535" t="str">
        <f>""</f>
        <v/>
      </c>
      <c r="G535" t="str">
        <f>"0.002"</f>
        <v>0.002</v>
      </c>
      <c r="H535" t="str">
        <f>""</f>
        <v/>
      </c>
      <c r="I535" t="str">
        <f t="shared" ref="I535:I570" si="64">"                                                     "</f>
        <v xml:space="preserve">                                                     </v>
      </c>
      <c r="J535" t="str">
        <f>""</f>
        <v/>
      </c>
    </row>
    <row r="536" spans="1:10">
      <c r="A536" s="1" t="str">
        <f>"3d6.4s.(6D).6p"</f>
        <v>3d6.4s.(6D).6p</v>
      </c>
      <c r="B536" t="str">
        <f>"5F*"</f>
        <v>5F*</v>
      </c>
      <c r="C536" t="str">
        <f>"4"</f>
        <v>4</v>
      </c>
      <c r="D536" t="str">
        <f>""</f>
        <v/>
      </c>
      <c r="E536" t="str">
        <f>"57064.346"</f>
        <v>57064.346</v>
      </c>
      <c r="F536" t="str">
        <f>""</f>
        <v/>
      </c>
      <c r="G536" t="str">
        <f>"0.003"</f>
        <v>0.003</v>
      </c>
      <c r="H536" t="str">
        <f>""</f>
        <v/>
      </c>
      <c r="I536" t="str">
        <f t="shared" si="64"/>
        <v xml:space="preserve">                                                     </v>
      </c>
      <c r="J536" t="str">
        <f>""</f>
        <v/>
      </c>
    </row>
    <row r="537" spans="1:10">
      <c r="A537" s="1" t="str">
        <f>"3d6.4s.(6D).6p"</f>
        <v>3d6.4s.(6D).6p</v>
      </c>
      <c r="B537" t="str">
        <f>"5F*"</f>
        <v>5F*</v>
      </c>
      <c r="C537" t="str">
        <f>"3"</f>
        <v>3</v>
      </c>
      <c r="D537" t="str">
        <f>""</f>
        <v/>
      </c>
      <c r="E537" t="str">
        <f>"57343.828"</f>
        <v>57343.828</v>
      </c>
      <c r="F537" t="str">
        <f>""</f>
        <v/>
      </c>
      <c r="G537" t="str">
        <f>"0.002"</f>
        <v>0.002</v>
      </c>
      <c r="H537" t="str">
        <f>""</f>
        <v/>
      </c>
      <c r="I537" t="str">
        <f t="shared" si="64"/>
        <v xml:space="preserve">                                                     </v>
      </c>
      <c r="J537" t="str">
        <f>""</f>
        <v/>
      </c>
    </row>
    <row r="538" spans="1:10">
      <c r="A538" s="1" t="str">
        <f>"3d6.4s.(6D).6p"</f>
        <v>3d6.4s.(6D).6p</v>
      </c>
      <c r="B538" t="str">
        <f>"5F*"</f>
        <v>5F*</v>
      </c>
      <c r="C538" t="str">
        <f>"1"</f>
        <v>1</v>
      </c>
      <c r="D538" t="str">
        <f>""</f>
        <v/>
      </c>
      <c r="E538" t="str">
        <f>"57546.481"</f>
        <v>57546.481</v>
      </c>
      <c r="F538" t="str">
        <f>""</f>
        <v/>
      </c>
      <c r="G538" t="str">
        <f>"0.003"</f>
        <v>0.003</v>
      </c>
      <c r="H538" t="str">
        <f>""</f>
        <v/>
      </c>
      <c r="I538" t="str">
        <f t="shared" si="64"/>
        <v xml:space="preserve">                                                     </v>
      </c>
      <c r="J538" t="str">
        <f>""</f>
        <v/>
      </c>
    </row>
    <row r="539" spans="1:10">
      <c r="A539" s="1" t="str">
        <f>"3d6.4s.(6D).6p"</f>
        <v>3d6.4s.(6D).6p</v>
      </c>
      <c r="B539" t="str">
        <f>"5F*"</f>
        <v>5F*</v>
      </c>
      <c r="C539" t="str">
        <f>"2"</f>
        <v>2</v>
      </c>
      <c r="D539" t="str">
        <f>""</f>
        <v/>
      </c>
      <c r="E539" t="str">
        <f>"57572.513"</f>
        <v>57572.513</v>
      </c>
      <c r="F539" t="str">
        <f>""</f>
        <v/>
      </c>
      <c r="G539" t="str">
        <f>"0.002"</f>
        <v>0.002</v>
      </c>
      <c r="H539" t="str">
        <f>""</f>
        <v/>
      </c>
      <c r="I539" t="str">
        <f t="shared" si="64"/>
        <v xml:space="preserve">                                                     </v>
      </c>
      <c r="J539" t="str">
        <f>""</f>
        <v/>
      </c>
    </row>
    <row r="540" spans="1:10">
      <c r="A540" s="1" t="str">
        <f t="shared" ref="A540:A545" si="65">"3d6.4s.(6D).5d"</f>
        <v>3d6.4s.(6D).5d</v>
      </c>
      <c r="B540" t="str">
        <f>"5S"</f>
        <v>5S</v>
      </c>
      <c r="C540" t="str">
        <f>"2"</f>
        <v>2</v>
      </c>
      <c r="D540" t="str">
        <f>""</f>
        <v/>
      </c>
      <c r="E540" t="str">
        <f>"56720.409"</f>
        <v>56720.409</v>
      </c>
      <c r="F540" t="str">
        <f>""</f>
        <v/>
      </c>
      <c r="G540" t="str">
        <f>"0.002"</f>
        <v>0.002</v>
      </c>
      <c r="H540" t="str">
        <f>""</f>
        <v/>
      </c>
      <c r="I540" t="str">
        <f t="shared" si="64"/>
        <v xml:space="preserve">                                                     </v>
      </c>
      <c r="J540" t="str">
        <f>""</f>
        <v/>
      </c>
    </row>
    <row r="541" spans="1:10">
      <c r="A541" s="1" t="str">
        <f t="shared" si="65"/>
        <v>3d6.4s.(6D).5d</v>
      </c>
      <c r="B541" t="str">
        <f>"5F"</f>
        <v>5F</v>
      </c>
      <c r="C541" t="str">
        <f>"3"</f>
        <v>3</v>
      </c>
      <c r="D541" t="str">
        <f>""</f>
        <v/>
      </c>
      <c r="E541" t="str">
        <f>"56726.892"</f>
        <v>56726.892</v>
      </c>
      <c r="F541" t="str">
        <f>""</f>
        <v/>
      </c>
      <c r="G541" t="str">
        <f>"0.001"</f>
        <v>0.001</v>
      </c>
      <c r="H541" t="str">
        <f>""</f>
        <v/>
      </c>
      <c r="I541" t="str">
        <f t="shared" si="64"/>
        <v xml:space="preserve">                                                     </v>
      </c>
      <c r="J541" t="str">
        <f>""</f>
        <v/>
      </c>
    </row>
    <row r="542" spans="1:10">
      <c r="A542" s="1" t="str">
        <f t="shared" si="65"/>
        <v>3d6.4s.(6D).5d</v>
      </c>
      <c r="B542" t="str">
        <f>"5F"</f>
        <v>5F</v>
      </c>
      <c r="C542" t="str">
        <f>"5"</f>
        <v>5</v>
      </c>
      <c r="D542" t="str">
        <f>""</f>
        <v/>
      </c>
      <c r="E542" t="str">
        <f>"56761.878"</f>
        <v>56761.878</v>
      </c>
      <c r="F542" t="str">
        <f>""</f>
        <v/>
      </c>
      <c r="G542" t="str">
        <f t="shared" ref="G542:G547" si="66">"0.002"</f>
        <v>0.002</v>
      </c>
      <c r="H542" t="str">
        <f>""</f>
        <v/>
      </c>
      <c r="I542" t="str">
        <f t="shared" si="64"/>
        <v xml:space="preserve">                                                     </v>
      </c>
      <c r="J542" t="str">
        <f>""</f>
        <v/>
      </c>
    </row>
    <row r="543" spans="1:10">
      <c r="A543" s="1" t="str">
        <f t="shared" si="65"/>
        <v>3d6.4s.(6D).5d</v>
      </c>
      <c r="B543" t="str">
        <f>"5F"</f>
        <v>5F</v>
      </c>
      <c r="C543" t="str">
        <f>"2"</f>
        <v>2</v>
      </c>
      <c r="D543" t="str">
        <f>""</f>
        <v/>
      </c>
      <c r="E543" t="str">
        <f>"56952.213"</f>
        <v>56952.213</v>
      </c>
      <c r="F543" t="str">
        <f>""</f>
        <v/>
      </c>
      <c r="G543" t="str">
        <f t="shared" si="66"/>
        <v>0.002</v>
      </c>
      <c r="H543" t="str">
        <f>""</f>
        <v/>
      </c>
      <c r="I543" t="str">
        <f t="shared" si="64"/>
        <v xml:space="preserve">                                                     </v>
      </c>
      <c r="J543" t="str">
        <f>""</f>
        <v/>
      </c>
    </row>
    <row r="544" spans="1:10">
      <c r="A544" s="1" t="str">
        <f t="shared" si="65"/>
        <v>3d6.4s.(6D).5d</v>
      </c>
      <c r="B544" t="str">
        <f>"5F"</f>
        <v>5F</v>
      </c>
      <c r="C544" t="str">
        <f>"1"</f>
        <v>1</v>
      </c>
      <c r="D544" t="str">
        <f>""</f>
        <v/>
      </c>
      <c r="E544" t="str">
        <f>"57077.843"</f>
        <v>57077.843</v>
      </c>
      <c r="F544" t="str">
        <f>""</f>
        <v/>
      </c>
      <c r="G544" t="str">
        <f t="shared" si="66"/>
        <v>0.002</v>
      </c>
      <c r="H544" t="str">
        <f>""</f>
        <v/>
      </c>
      <c r="I544" t="str">
        <f t="shared" si="64"/>
        <v xml:space="preserve">                                                     </v>
      </c>
      <c r="J544" t="str">
        <f>""</f>
        <v/>
      </c>
    </row>
    <row r="545" spans="1:10">
      <c r="A545" s="1" t="str">
        <f t="shared" si="65"/>
        <v>3d6.4s.(6D).5d</v>
      </c>
      <c r="B545" t="str">
        <f>"5F"</f>
        <v>5F</v>
      </c>
      <c r="C545" t="str">
        <f>"4"</f>
        <v>4</v>
      </c>
      <c r="D545" t="str">
        <f>""</f>
        <v/>
      </c>
      <c r="E545" t="str">
        <f>"57125.250"</f>
        <v>57125.250</v>
      </c>
      <c r="F545" t="str">
        <f>""</f>
        <v/>
      </c>
      <c r="G545" t="str">
        <f t="shared" si="66"/>
        <v>0.002</v>
      </c>
      <c r="H545" t="str">
        <f>""</f>
        <v/>
      </c>
      <c r="I545" t="str">
        <f t="shared" si="64"/>
        <v xml:space="preserve">                                                     </v>
      </c>
      <c r="J545" t="str">
        <f>""</f>
        <v/>
      </c>
    </row>
    <row r="546" spans="1:10">
      <c r="A546" s="1" t="str">
        <f>"3d6.4s.(6D).6p"</f>
        <v>3d6.4s.(6D).6p</v>
      </c>
      <c r="B546" t="str">
        <f>"5D*"</f>
        <v>5D*</v>
      </c>
      <c r="C546" t="str">
        <f>"4"</f>
        <v>4</v>
      </c>
      <c r="D546" t="str">
        <f>""</f>
        <v/>
      </c>
      <c r="E546" t="str">
        <f>"56732.335"</f>
        <v>56732.335</v>
      </c>
      <c r="F546" t="str">
        <f>""</f>
        <v/>
      </c>
      <c r="G546" t="str">
        <f t="shared" si="66"/>
        <v>0.002</v>
      </c>
      <c r="H546" t="str">
        <f>""</f>
        <v/>
      </c>
      <c r="I546" t="str">
        <f t="shared" si="64"/>
        <v xml:space="preserve">                                                     </v>
      </c>
      <c r="J546" t="str">
        <f>""</f>
        <v/>
      </c>
    </row>
    <row r="547" spans="1:10">
      <c r="A547" s="1" t="str">
        <f>"3d6.4s.(6D).6p"</f>
        <v>3d6.4s.(6D).6p</v>
      </c>
      <c r="B547" t="str">
        <f>"5D*"</f>
        <v>5D*</v>
      </c>
      <c r="C547" t="str">
        <f>"3"</f>
        <v>3</v>
      </c>
      <c r="D547" t="str">
        <f>""</f>
        <v/>
      </c>
      <c r="E547" t="str">
        <f>"57168.531"</f>
        <v>57168.531</v>
      </c>
      <c r="F547" t="str">
        <f>""</f>
        <v/>
      </c>
      <c r="G547" t="str">
        <f t="shared" si="66"/>
        <v>0.002</v>
      </c>
      <c r="H547" t="str">
        <f>""</f>
        <v/>
      </c>
      <c r="I547" t="str">
        <f t="shared" si="64"/>
        <v xml:space="preserve">                                                     </v>
      </c>
      <c r="J547" t="str">
        <f>""</f>
        <v/>
      </c>
    </row>
    <row r="548" spans="1:10">
      <c r="A548" s="1" t="str">
        <f>"3d6.4s.(6D).6p"</f>
        <v>3d6.4s.(6D).6p</v>
      </c>
      <c r="B548" t="str">
        <f>"5D*"</f>
        <v>5D*</v>
      </c>
      <c r="C548" t="str">
        <f>"1"</f>
        <v>1</v>
      </c>
      <c r="D548" t="str">
        <f>""</f>
        <v/>
      </c>
      <c r="E548" t="str">
        <f>"57401.144"</f>
        <v>57401.144</v>
      </c>
      <c r="F548" t="str">
        <f>""</f>
        <v/>
      </c>
      <c r="G548" t="str">
        <f>"0.003"</f>
        <v>0.003</v>
      </c>
      <c r="H548" t="str">
        <f>""</f>
        <v/>
      </c>
      <c r="I548" t="str">
        <f t="shared" si="64"/>
        <v xml:space="preserve">                                                     </v>
      </c>
      <c r="J548" t="str">
        <f>""</f>
        <v/>
      </c>
    </row>
    <row r="549" spans="1:10">
      <c r="A549" s="1" t="str">
        <f>"3d6.4s.(6D).6p"</f>
        <v>3d6.4s.(6D).6p</v>
      </c>
      <c r="B549" t="str">
        <f>"5D*"</f>
        <v>5D*</v>
      </c>
      <c r="C549" t="str">
        <f>"2"</f>
        <v>2</v>
      </c>
      <c r="D549" t="str">
        <f>""</f>
        <v/>
      </c>
      <c r="E549" t="str">
        <f>"57415.757"</f>
        <v>57415.757</v>
      </c>
      <c r="F549" t="str">
        <f>""</f>
        <v/>
      </c>
      <c r="G549" t="str">
        <f>"0.001"</f>
        <v>0.001</v>
      </c>
      <c r="H549" t="str">
        <f>""</f>
        <v/>
      </c>
      <c r="I549" t="str">
        <f t="shared" si="64"/>
        <v xml:space="preserve">                                                     </v>
      </c>
      <c r="J549" t="str">
        <f>""</f>
        <v/>
      </c>
    </row>
    <row r="550" spans="1:10">
      <c r="A550" s="1" t="str">
        <f>"3d6.4s.(6D).6p"</f>
        <v>3d6.4s.(6D).6p</v>
      </c>
      <c r="B550" t="str">
        <f>"5D*"</f>
        <v>5D*</v>
      </c>
      <c r="C550" t="str">
        <f>"0"</f>
        <v>0</v>
      </c>
      <c r="D550" t="str">
        <f>""</f>
        <v/>
      </c>
      <c r="E550" t="str">
        <f>"57610.719"</f>
        <v>57610.719</v>
      </c>
      <c r="F550" t="str">
        <f>""</f>
        <v/>
      </c>
      <c r="G550" t="str">
        <f>"0.002"</f>
        <v>0.002</v>
      </c>
      <c r="H550" t="str">
        <f>""</f>
        <v/>
      </c>
      <c r="I550" t="str">
        <f t="shared" si="64"/>
        <v xml:space="preserve">                                                     </v>
      </c>
      <c r="J550" t="str">
        <f>""</f>
        <v/>
      </c>
    </row>
    <row r="551" spans="1:10">
      <c r="A551" s="1" t="str">
        <f t="shared" ref="A551:A564" si="67">"3d6.4s.(6D&lt;9/2&gt;).4f"</f>
        <v>3d6.4s.(6D&lt;9/2&gt;).4f</v>
      </c>
      <c r="B551" t="str">
        <f>"2[11/2]*"</f>
        <v>2[11/2]*</v>
      </c>
      <c r="C551" t="str">
        <f>"6"</f>
        <v>6</v>
      </c>
      <c r="D551" t="str">
        <f>""</f>
        <v/>
      </c>
      <c r="E551" t="str">
        <f>"56748.901"</f>
        <v>56748.901</v>
      </c>
      <c r="F551" t="str">
        <f>""</f>
        <v/>
      </c>
      <c r="G551" t="str">
        <f>"0.001"</f>
        <v>0.001</v>
      </c>
      <c r="H551" t="str">
        <f>""</f>
        <v/>
      </c>
      <c r="I551" t="str">
        <f t="shared" si="64"/>
        <v xml:space="preserve">                                                     </v>
      </c>
      <c r="J551" t="str">
        <f>""</f>
        <v/>
      </c>
    </row>
    <row r="552" spans="1:10">
      <c r="A552" s="1" t="str">
        <f t="shared" si="67"/>
        <v>3d6.4s.(6D&lt;9/2&gt;).4f</v>
      </c>
      <c r="B552" t="str">
        <f>"2[11/2]*"</f>
        <v>2[11/2]*</v>
      </c>
      <c r="C552" t="str">
        <f>"5"</f>
        <v>5</v>
      </c>
      <c r="D552" t="str">
        <f>""</f>
        <v/>
      </c>
      <c r="E552" t="str">
        <f>"56751.099"</f>
        <v>56751.099</v>
      </c>
      <c r="F552" t="str">
        <f>""</f>
        <v/>
      </c>
      <c r="G552" t="str">
        <f>"0.001"</f>
        <v>0.001</v>
      </c>
      <c r="H552" t="str">
        <f>""</f>
        <v/>
      </c>
      <c r="I552" t="str">
        <f t="shared" si="64"/>
        <v xml:space="preserve">                                                     </v>
      </c>
      <c r="J552" t="str">
        <f>""</f>
        <v/>
      </c>
    </row>
    <row r="553" spans="1:10">
      <c r="A553" s="1" t="str">
        <f t="shared" si="67"/>
        <v>3d6.4s.(6D&lt;9/2&gt;).4f</v>
      </c>
      <c r="B553" t="str">
        <f>"2[13/2]*"</f>
        <v>2[13/2]*</v>
      </c>
      <c r="C553" t="str">
        <f>"7"</f>
        <v>7</v>
      </c>
      <c r="D553" t="str">
        <f>""</f>
        <v/>
      </c>
      <c r="E553" t="str">
        <f>"56754.132"</f>
        <v>56754.132</v>
      </c>
      <c r="F553" t="str">
        <f>""</f>
        <v/>
      </c>
      <c r="G553" t="str">
        <f>"0.002"</f>
        <v>0.002</v>
      </c>
      <c r="H553" t="str">
        <f>""</f>
        <v/>
      </c>
      <c r="I553" t="str">
        <f t="shared" si="64"/>
        <v xml:space="preserve">                                                     </v>
      </c>
      <c r="J553" t="str">
        <f>""</f>
        <v/>
      </c>
    </row>
    <row r="554" spans="1:10">
      <c r="A554" s="1" t="str">
        <f t="shared" si="67"/>
        <v>3d6.4s.(6D&lt;9/2&gt;).4f</v>
      </c>
      <c r="B554" t="str">
        <f>"2[13/2]*"</f>
        <v>2[13/2]*</v>
      </c>
      <c r="C554" t="str">
        <f>"6"</f>
        <v>6</v>
      </c>
      <c r="D554" t="str">
        <f>""</f>
        <v/>
      </c>
      <c r="E554" t="str">
        <f>"56756.503"</f>
        <v>56756.503</v>
      </c>
      <c r="F554" t="str">
        <f>""</f>
        <v/>
      </c>
      <c r="G554" t="str">
        <f>"0.002"</f>
        <v>0.002</v>
      </c>
      <c r="H554" t="str">
        <f>""</f>
        <v/>
      </c>
      <c r="I554" t="str">
        <f t="shared" si="64"/>
        <v xml:space="preserve">                                                     </v>
      </c>
      <c r="J554" t="str">
        <f>""</f>
        <v/>
      </c>
    </row>
    <row r="555" spans="1:10">
      <c r="A555" s="1" t="str">
        <f t="shared" si="67"/>
        <v>3d6.4s.(6D&lt;9/2&gt;).4f</v>
      </c>
      <c r="B555" t="str">
        <f>"2[9/2]*"</f>
        <v>2[9/2]*</v>
      </c>
      <c r="C555" t="str">
        <f>"5"</f>
        <v>5</v>
      </c>
      <c r="D555" t="str">
        <f>""</f>
        <v/>
      </c>
      <c r="E555" t="str">
        <f>"56754.726"</f>
        <v>56754.726</v>
      </c>
      <c r="F555" t="str">
        <f>""</f>
        <v/>
      </c>
      <c r="G555" t="str">
        <f t="shared" ref="G555:G560" si="68">"0.001"</f>
        <v>0.001</v>
      </c>
      <c r="H555" t="str">
        <f>""</f>
        <v/>
      </c>
      <c r="I555" t="str">
        <f t="shared" si="64"/>
        <v xml:space="preserve">                                                     </v>
      </c>
      <c r="J555" t="str">
        <f>""</f>
        <v/>
      </c>
    </row>
    <row r="556" spans="1:10">
      <c r="A556" s="1" t="str">
        <f t="shared" si="67"/>
        <v>3d6.4s.(6D&lt;9/2&gt;).4f</v>
      </c>
      <c r="B556" t="str">
        <f>"2[9/2]*"</f>
        <v>2[9/2]*</v>
      </c>
      <c r="C556" t="str">
        <f>"4"</f>
        <v>4</v>
      </c>
      <c r="D556" t="str">
        <f>""</f>
        <v/>
      </c>
      <c r="E556" t="str">
        <f>"56754.932"</f>
        <v>56754.932</v>
      </c>
      <c r="F556" t="str">
        <f>""</f>
        <v/>
      </c>
      <c r="G556" t="str">
        <f t="shared" si="68"/>
        <v>0.001</v>
      </c>
      <c r="H556" t="str">
        <f>""</f>
        <v/>
      </c>
      <c r="I556" t="str">
        <f t="shared" si="64"/>
        <v xml:space="preserve">                                                     </v>
      </c>
      <c r="J556" t="str">
        <f>""</f>
        <v/>
      </c>
    </row>
    <row r="557" spans="1:10">
      <c r="A557" s="1" t="str">
        <f t="shared" si="67"/>
        <v>3d6.4s.(6D&lt;9/2&gt;).4f</v>
      </c>
      <c r="B557" t="str">
        <f>"2[7/2]*"</f>
        <v>2[7/2]*</v>
      </c>
      <c r="C557" t="str">
        <f>"4"</f>
        <v>4</v>
      </c>
      <c r="D557" t="str">
        <f>""</f>
        <v/>
      </c>
      <c r="E557" t="str">
        <f>"56764.767"</f>
        <v>56764.767</v>
      </c>
      <c r="F557" t="str">
        <f>""</f>
        <v/>
      </c>
      <c r="G557" t="str">
        <f t="shared" si="68"/>
        <v>0.001</v>
      </c>
      <c r="H557" t="str">
        <f>""</f>
        <v/>
      </c>
      <c r="I557" t="str">
        <f t="shared" si="64"/>
        <v xml:space="preserve">                                                     </v>
      </c>
      <c r="J557" t="str">
        <f>""</f>
        <v/>
      </c>
    </row>
    <row r="558" spans="1:10">
      <c r="A558" s="1" t="str">
        <f t="shared" si="67"/>
        <v>3d6.4s.(6D&lt;9/2&gt;).4f</v>
      </c>
      <c r="B558" t="str">
        <f>"2[7/2]*"</f>
        <v>2[7/2]*</v>
      </c>
      <c r="C558" t="str">
        <f>"3"</f>
        <v>3</v>
      </c>
      <c r="D558" t="str">
        <f>""</f>
        <v/>
      </c>
      <c r="E558" t="str">
        <f>"56766.053"</f>
        <v>56766.053</v>
      </c>
      <c r="F558" t="str">
        <f>""</f>
        <v/>
      </c>
      <c r="G558" t="str">
        <f t="shared" si="68"/>
        <v>0.001</v>
      </c>
      <c r="H558" t="str">
        <f>""</f>
        <v/>
      </c>
      <c r="I558" t="str">
        <f t="shared" si="64"/>
        <v xml:space="preserve">                                                     </v>
      </c>
      <c r="J558" t="str">
        <f>""</f>
        <v/>
      </c>
    </row>
    <row r="559" spans="1:10">
      <c r="A559" s="1" t="str">
        <f t="shared" si="67"/>
        <v>3d6.4s.(6D&lt;9/2&gt;).4f</v>
      </c>
      <c r="B559" t="str">
        <f>"2[5/2]*"</f>
        <v>2[5/2]*</v>
      </c>
      <c r="C559" t="str">
        <f>"3"</f>
        <v>3</v>
      </c>
      <c r="D559" t="str">
        <f>""</f>
        <v/>
      </c>
      <c r="E559" t="str">
        <f>"56777.262"</f>
        <v>56777.262</v>
      </c>
      <c r="F559" t="str">
        <f>""</f>
        <v/>
      </c>
      <c r="G559" t="str">
        <f t="shared" si="68"/>
        <v>0.001</v>
      </c>
      <c r="H559" t="str">
        <f>""</f>
        <v/>
      </c>
      <c r="I559" t="str">
        <f t="shared" si="64"/>
        <v xml:space="preserve">                                                     </v>
      </c>
      <c r="J559" t="str">
        <f>""</f>
        <v/>
      </c>
    </row>
    <row r="560" spans="1:10">
      <c r="A560" s="1" t="str">
        <f t="shared" si="67"/>
        <v>3d6.4s.(6D&lt;9/2&gt;).4f</v>
      </c>
      <c r="B560" t="str">
        <f>"2[5/2]*"</f>
        <v>2[5/2]*</v>
      </c>
      <c r="C560" t="str">
        <f>"2"</f>
        <v>2</v>
      </c>
      <c r="D560" t="str">
        <f>""</f>
        <v/>
      </c>
      <c r="E560" t="str">
        <f>"56779.538"</f>
        <v>56779.538</v>
      </c>
      <c r="F560" t="str">
        <f>""</f>
        <v/>
      </c>
      <c r="G560" t="str">
        <f t="shared" si="68"/>
        <v>0.001</v>
      </c>
      <c r="H560" t="str">
        <f>""</f>
        <v/>
      </c>
      <c r="I560" t="str">
        <f t="shared" si="64"/>
        <v xml:space="preserve">                                                     </v>
      </c>
      <c r="J560" t="str">
        <f>""</f>
        <v/>
      </c>
    </row>
    <row r="561" spans="1:10">
      <c r="A561" s="1" t="str">
        <f t="shared" si="67"/>
        <v>3d6.4s.(6D&lt;9/2&gt;).4f</v>
      </c>
      <c r="B561" t="str">
        <f>"2[15/2]*"</f>
        <v>2[15/2]*</v>
      </c>
      <c r="C561" t="str">
        <f>"7"</f>
        <v>7</v>
      </c>
      <c r="D561" t="str">
        <f>""</f>
        <v/>
      </c>
      <c r="E561" t="str">
        <f>"56778.773"</f>
        <v>56778.773</v>
      </c>
      <c r="F561" t="str">
        <f>""</f>
        <v/>
      </c>
      <c r="G561" t="str">
        <f>"0.003"</f>
        <v>0.003</v>
      </c>
      <c r="H561" t="str">
        <f>""</f>
        <v/>
      </c>
      <c r="I561" t="str">
        <f t="shared" si="64"/>
        <v xml:space="preserve">                                                     </v>
      </c>
      <c r="J561" t="str">
        <f>""</f>
        <v/>
      </c>
    </row>
    <row r="562" spans="1:10">
      <c r="A562" s="1" t="str">
        <f t="shared" si="67"/>
        <v>3d6.4s.(6D&lt;9/2&gt;).4f</v>
      </c>
      <c r="B562" t="str">
        <f>"2[15/2]*"</f>
        <v>2[15/2]*</v>
      </c>
      <c r="C562" t="str">
        <f>"8"</f>
        <v>8</v>
      </c>
      <c r="D562" t="str">
        <f>""</f>
        <v/>
      </c>
      <c r="E562" t="str">
        <f>"56778.791"</f>
        <v>56778.791</v>
      </c>
      <c r="F562" t="str">
        <f>""</f>
        <v/>
      </c>
      <c r="G562" t="str">
        <f>"0.003"</f>
        <v>0.003</v>
      </c>
      <c r="H562" t="str">
        <f>""</f>
        <v/>
      </c>
      <c r="I562" t="str">
        <f t="shared" si="64"/>
        <v xml:space="preserve">                                                     </v>
      </c>
      <c r="J562" t="str">
        <f>""</f>
        <v/>
      </c>
    </row>
    <row r="563" spans="1:10">
      <c r="A563" s="1" t="str">
        <f t="shared" si="67"/>
        <v>3d6.4s.(6D&lt;9/2&gt;).4f</v>
      </c>
      <c r="B563" t="str">
        <f>"2[3/2]*"</f>
        <v>2[3/2]*</v>
      </c>
      <c r="C563" t="str">
        <f>"2"</f>
        <v>2</v>
      </c>
      <c r="D563" t="str">
        <f>""</f>
        <v/>
      </c>
      <c r="E563" t="str">
        <f>"56789.699"</f>
        <v>56789.699</v>
      </c>
      <c r="F563" t="str">
        <f>""</f>
        <v/>
      </c>
      <c r="G563" t="str">
        <f>"0.002"</f>
        <v>0.002</v>
      </c>
      <c r="H563" t="str">
        <f>""</f>
        <v/>
      </c>
      <c r="I563" t="str">
        <f t="shared" si="64"/>
        <v xml:space="preserve">                                                     </v>
      </c>
      <c r="J563" t="str">
        <f>""</f>
        <v/>
      </c>
    </row>
    <row r="564" spans="1:10">
      <c r="A564" s="1" t="str">
        <f t="shared" si="67"/>
        <v>3d6.4s.(6D&lt;9/2&gt;).4f</v>
      </c>
      <c r="B564" t="str">
        <f>"2[3/2]*"</f>
        <v>2[3/2]*</v>
      </c>
      <c r="C564" t="str">
        <f>"1"</f>
        <v>1</v>
      </c>
      <c r="D564" t="str">
        <f>""</f>
        <v/>
      </c>
      <c r="E564" t="str">
        <f>"56791.623"</f>
        <v>56791.623</v>
      </c>
      <c r="F564" t="str">
        <f>""</f>
        <v/>
      </c>
      <c r="G564" t="str">
        <f>"0.002"</f>
        <v>0.002</v>
      </c>
      <c r="H564" t="str">
        <f>""</f>
        <v/>
      </c>
      <c r="I564" t="str">
        <f t="shared" si="64"/>
        <v xml:space="preserve">                                                     </v>
      </c>
      <c r="J564" t="str">
        <f>""</f>
        <v/>
      </c>
    </row>
    <row r="565" spans="1:10">
      <c r="A565" s="1" t="str">
        <f>"3d7.(4F).6s"</f>
        <v>3d7.(4F).6s</v>
      </c>
      <c r="B565" t="str">
        <f>"3F"</f>
        <v>3F</v>
      </c>
      <c r="C565" t="str">
        <f>"4"</f>
        <v>4</v>
      </c>
      <c r="D565" t="str">
        <f>""</f>
        <v/>
      </c>
      <c r="E565" t="str">
        <f>"56808.267"</f>
        <v>56808.267</v>
      </c>
      <c r="F565" t="str">
        <f>""</f>
        <v/>
      </c>
      <c r="G565" t="str">
        <f>"0.002"</f>
        <v>0.002</v>
      </c>
      <c r="H565" t="str">
        <f>""</f>
        <v/>
      </c>
      <c r="I565" t="str">
        <f t="shared" si="64"/>
        <v xml:space="preserve">                                                     </v>
      </c>
      <c r="J565" t="str">
        <f>""</f>
        <v/>
      </c>
    </row>
    <row r="566" spans="1:10">
      <c r="A566" s="1" t="str">
        <f>"3d7.(4F).6s"</f>
        <v>3d7.(4F).6s</v>
      </c>
      <c r="B566" t="str">
        <f>"3F"</f>
        <v>3F</v>
      </c>
      <c r="C566" t="str">
        <f>"3"</f>
        <v>3</v>
      </c>
      <c r="D566" t="str">
        <f>""</f>
        <v/>
      </c>
      <c r="E566" t="str">
        <f>"57218.827"</f>
        <v>57218.827</v>
      </c>
      <c r="F566" t="str">
        <f>""</f>
        <v/>
      </c>
      <c r="G566" t="str">
        <f>"0.002"</f>
        <v>0.002</v>
      </c>
      <c r="H566" t="str">
        <f>""</f>
        <v/>
      </c>
      <c r="I566" t="str">
        <f t="shared" si="64"/>
        <v xml:space="preserve">                                                     </v>
      </c>
      <c r="J566" t="str">
        <f>""</f>
        <v/>
      </c>
    </row>
    <row r="567" spans="1:10">
      <c r="A567" s="1" t="str">
        <f>"3d7.(4F).6s"</f>
        <v>3d7.(4F).6s</v>
      </c>
      <c r="B567" t="str">
        <f>"3F"</f>
        <v>3F</v>
      </c>
      <c r="C567" t="str">
        <f>"2"</f>
        <v>2</v>
      </c>
      <c r="D567" t="str">
        <f>""</f>
        <v/>
      </c>
      <c r="E567" t="str">
        <f>"57790.909"</f>
        <v>57790.909</v>
      </c>
      <c r="F567" t="str">
        <f>""</f>
        <v/>
      </c>
      <c r="G567" t="str">
        <f>"0.002"</f>
        <v>0.002</v>
      </c>
      <c r="H567" t="str">
        <f>""</f>
        <v/>
      </c>
      <c r="I567" t="str">
        <f t="shared" si="64"/>
        <v xml:space="preserve">                                                     </v>
      </c>
      <c r="J567" t="str">
        <f>""</f>
        <v/>
      </c>
    </row>
    <row r="568" spans="1:10">
      <c r="A568" s="1" t="str">
        <f>"3d6.4s.(6D).6p"</f>
        <v>3d6.4s.(6D).6p</v>
      </c>
      <c r="B568" t="str">
        <f>"5P*"</f>
        <v>5P*</v>
      </c>
      <c r="C568" t="str">
        <f>"3"</f>
        <v>3</v>
      </c>
      <c r="D568" t="str">
        <f>""</f>
        <v/>
      </c>
      <c r="E568" t="str">
        <f>"56871.345"</f>
        <v>56871.345</v>
      </c>
      <c r="F568" t="str">
        <f>""</f>
        <v/>
      </c>
      <c r="G568" t="str">
        <f>"0.003"</f>
        <v>0.003</v>
      </c>
      <c r="H568" t="str">
        <f>""</f>
        <v/>
      </c>
      <c r="I568" t="str">
        <f t="shared" si="64"/>
        <v xml:space="preserve">                                                     </v>
      </c>
      <c r="J568" t="str">
        <f>""</f>
        <v/>
      </c>
    </row>
    <row r="569" spans="1:10">
      <c r="A569" s="1" t="str">
        <f>"3d6.4s.(6D).6p"</f>
        <v>3d6.4s.(6D).6p</v>
      </c>
      <c r="B569" t="str">
        <f>"5P*"</f>
        <v>5P*</v>
      </c>
      <c r="C569" t="str">
        <f>"2"</f>
        <v>2</v>
      </c>
      <c r="D569" t="str">
        <f>""</f>
        <v/>
      </c>
      <c r="E569" t="str">
        <f>"57437.194"</f>
        <v>57437.194</v>
      </c>
      <c r="F569" t="str">
        <f>""</f>
        <v/>
      </c>
      <c r="G569" t="str">
        <f>"0.001"</f>
        <v>0.001</v>
      </c>
      <c r="H569" t="str">
        <f>""</f>
        <v/>
      </c>
      <c r="I569" t="str">
        <f t="shared" si="64"/>
        <v xml:space="preserve">                                                     </v>
      </c>
      <c r="J569" t="str">
        <f>""</f>
        <v/>
      </c>
    </row>
    <row r="570" spans="1:10">
      <c r="A570" s="1" t="str">
        <f>"3d6.4s.(6D).6p"</f>
        <v>3d6.4s.(6D).6p</v>
      </c>
      <c r="B570" t="str">
        <f>"5P*"</f>
        <v>5P*</v>
      </c>
      <c r="C570" t="str">
        <f>"1"</f>
        <v>1</v>
      </c>
      <c r="D570" t="str">
        <f>""</f>
        <v/>
      </c>
      <c r="E570" t="str">
        <f>"57741.472"</f>
        <v>57741.472</v>
      </c>
      <c r="F570" t="str">
        <f>""</f>
        <v/>
      </c>
      <c r="G570" t="str">
        <f>"0.003"</f>
        <v>0.003</v>
      </c>
      <c r="H570" t="str">
        <f>""</f>
        <v/>
      </c>
      <c r="I570" t="str">
        <f t="shared" si="64"/>
        <v xml:space="preserve">                                                     </v>
      </c>
      <c r="J570" t="str">
        <f>""</f>
        <v/>
      </c>
    </row>
    <row r="571" spans="1:10">
      <c r="A571" s="1" t="str">
        <f>"3d7.(2H).4p"</f>
        <v>3d7.(2H).4p</v>
      </c>
      <c r="B571" t="str">
        <f>"v 1G*"</f>
        <v>v 1G*</v>
      </c>
      <c r="C571" t="str">
        <f>"4"</f>
        <v>4</v>
      </c>
      <c r="D571" t="str">
        <f>""</f>
        <v/>
      </c>
      <c r="E571" t="str">
        <f>"56951.301"</f>
        <v>56951.301</v>
      </c>
      <c r="F571" t="str">
        <f>""</f>
        <v/>
      </c>
      <c r="G571" t="str">
        <f>"0.003"</f>
        <v>0.003</v>
      </c>
      <c r="H571" t="str">
        <f>"1.053"</f>
        <v>1.053</v>
      </c>
      <c r="I571" t="str">
        <f>"  39             :    23  3d6.(3G).4s.4p.(3P*)  1G*  "</f>
        <v xml:space="preserve">  39             :    23  3d6.(3G).4s.4p.(3P*)  1G*  </v>
      </c>
      <c r="J571" t="str">
        <f>""</f>
        <v/>
      </c>
    </row>
    <row r="572" spans="1:10">
      <c r="A572" s="1" t="str">
        <f>"3d6.(1I).4s.4p.(3P*)"</f>
        <v>3d6.(1I).4s.4p.(3P*)</v>
      </c>
      <c r="B572" t="str">
        <f>"x 3I*"</f>
        <v>x 3I*</v>
      </c>
      <c r="C572" t="str">
        <f>"7"</f>
        <v>7</v>
      </c>
      <c r="D572" t="str">
        <f>""</f>
        <v/>
      </c>
      <c r="E572" t="str">
        <f>"57027.513"</f>
        <v>57027.513</v>
      </c>
      <c r="F572" t="str">
        <f>""</f>
        <v/>
      </c>
      <c r="G572" t="str">
        <f>"0.003"</f>
        <v>0.003</v>
      </c>
      <c r="H572" t="str">
        <f>"1.145"</f>
        <v>1.145</v>
      </c>
      <c r="I572" t="str">
        <f>"  86             :     6  3d7.(2H).4p           3I*  "</f>
        <v xml:space="preserve">  86             :     6  3d7.(2H).4p           3I*  </v>
      </c>
      <c r="J572" t="str">
        <f>""</f>
        <v/>
      </c>
    </row>
    <row r="573" spans="1:10">
      <c r="A573" s="1" t="str">
        <f>"3d6.(1I).4s.4p.(3P*)"</f>
        <v>3d6.(1I).4s.4p.(3P*)</v>
      </c>
      <c r="B573" t="str">
        <f>"x 3I*"</f>
        <v>x 3I*</v>
      </c>
      <c r="C573" t="str">
        <f>"6"</f>
        <v>6</v>
      </c>
      <c r="D573" t="str">
        <f>""</f>
        <v/>
      </c>
      <c r="E573" t="str">
        <f>"57070.171"</f>
        <v>57070.171</v>
      </c>
      <c r="F573" t="str">
        <f>""</f>
        <v/>
      </c>
      <c r="G573" t="str">
        <f>"0.003"</f>
        <v>0.003</v>
      </c>
      <c r="H573" t="str">
        <f>"1.028"</f>
        <v>1.028</v>
      </c>
      <c r="I573" t="str">
        <f>"  85             :     7  3d7.(2H).4p           3I*  "</f>
        <v xml:space="preserve">  85             :     7  3d7.(2H).4p           3I*  </v>
      </c>
      <c r="J573" t="str">
        <f>""</f>
        <v/>
      </c>
    </row>
    <row r="574" spans="1:10">
      <c r="A574" s="1" t="str">
        <f>"3d6.(1I).4s.4p.(3P*)"</f>
        <v>3d6.(1I).4s.4p.(3P*)</v>
      </c>
      <c r="B574" t="str">
        <f>"x 3I*"</f>
        <v>x 3I*</v>
      </c>
      <c r="C574" t="str">
        <f>"5"</f>
        <v>5</v>
      </c>
      <c r="D574" t="str">
        <f>""</f>
        <v/>
      </c>
      <c r="E574" t="str">
        <f>"57104.217"</f>
        <v>57104.217</v>
      </c>
      <c r="F574" t="str">
        <f>""</f>
        <v/>
      </c>
      <c r="G574" t="str">
        <f>"0.007"</f>
        <v>0.007</v>
      </c>
      <c r="H574" t="str">
        <f>"0.832"</f>
        <v>0.832</v>
      </c>
      <c r="I574" t="str">
        <f>"  84             :     7  3d7.(2H).4p           3I*  "</f>
        <v xml:space="preserve">  84             :     7  3d7.(2H).4p           3I*  </v>
      </c>
      <c r="J574" t="str">
        <f>""</f>
        <v/>
      </c>
    </row>
    <row r="575" spans="1:10">
      <c r="A575" s="1" t="str">
        <f>"3d6.(3D).4s.4p.(1P*)"</f>
        <v>3d6.(3D).4s.4p.(1P*)</v>
      </c>
      <c r="B575" t="str">
        <f>"3D*"</f>
        <v>3D*</v>
      </c>
      <c r="C575" t="str">
        <f>"2"</f>
        <v>2</v>
      </c>
      <c r="D575" t="str">
        <f>""</f>
        <v/>
      </c>
      <c r="E575" t="str">
        <f>"57074.915"</f>
        <v>57074.915</v>
      </c>
      <c r="F575" t="str">
        <f>""</f>
        <v/>
      </c>
      <c r="G575" t="str">
        <f>"0.002"</f>
        <v>0.002</v>
      </c>
      <c r="H575" t="str">
        <f>""</f>
        <v/>
      </c>
      <c r="I575" t="str">
        <f t="shared" ref="I575:I604" si="69">"                                                     "</f>
        <v xml:space="preserve">                                                     </v>
      </c>
      <c r="J575" t="str">
        <f>""</f>
        <v/>
      </c>
    </row>
    <row r="576" spans="1:10">
      <c r="A576" s="1" t="str">
        <f>"3d6.(3D).4s.4p.(1P*)"</f>
        <v>3d6.(3D).4s.4p.(1P*)</v>
      </c>
      <c r="B576" t="str">
        <f>"3D*"</f>
        <v>3D*</v>
      </c>
      <c r="C576" t="str">
        <f>"3"</f>
        <v>3</v>
      </c>
      <c r="D576" t="str">
        <f>""</f>
        <v/>
      </c>
      <c r="E576" t="str">
        <f>"57346.148"</f>
        <v>57346.148</v>
      </c>
      <c r="F576" t="str">
        <f>""</f>
        <v/>
      </c>
      <c r="G576" t="str">
        <f>"0.002"</f>
        <v>0.002</v>
      </c>
      <c r="H576" t="str">
        <f>""</f>
        <v/>
      </c>
      <c r="I576" t="str">
        <f t="shared" si="69"/>
        <v xml:space="preserve">                                                     </v>
      </c>
      <c r="J576" t="str">
        <f>""</f>
        <v/>
      </c>
    </row>
    <row r="577" spans="1:10">
      <c r="A577" s="1" t="str">
        <f t="shared" ref="A577:A590" si="70">"3d6.4s.(6D&lt;7/2&gt;).4f"</f>
        <v>3d6.4s.(6D&lt;7/2&gt;).4f</v>
      </c>
      <c r="B577" t="str">
        <f>"2[9/2]*"</f>
        <v>2[9/2]*</v>
      </c>
      <c r="C577" t="str">
        <f>"5"</f>
        <v>5</v>
      </c>
      <c r="D577" t="str">
        <f>""</f>
        <v/>
      </c>
      <c r="E577" t="str">
        <f>"57145.784"</f>
        <v>57145.784</v>
      </c>
      <c r="F577" t="str">
        <f>""</f>
        <v/>
      </c>
      <c r="G577" t="str">
        <f t="shared" ref="G577:G582" si="71">"0.001"</f>
        <v>0.001</v>
      </c>
      <c r="H577" t="str">
        <f>""</f>
        <v/>
      </c>
      <c r="I577" t="str">
        <f t="shared" si="69"/>
        <v xml:space="preserve">                                                     </v>
      </c>
      <c r="J577" t="str">
        <f>""</f>
        <v/>
      </c>
    </row>
    <row r="578" spans="1:10">
      <c r="A578" s="1" t="str">
        <f t="shared" si="70"/>
        <v>3d6.4s.(6D&lt;7/2&gt;).4f</v>
      </c>
      <c r="B578" t="str">
        <f>"2[9/2]*"</f>
        <v>2[9/2]*</v>
      </c>
      <c r="C578" t="str">
        <f>"4"</f>
        <v>4</v>
      </c>
      <c r="D578" t="str">
        <f>""</f>
        <v/>
      </c>
      <c r="E578" t="str">
        <f>"57147.171"</f>
        <v>57147.171</v>
      </c>
      <c r="F578" t="str">
        <f>""</f>
        <v/>
      </c>
      <c r="G578" t="str">
        <f t="shared" si="71"/>
        <v>0.001</v>
      </c>
      <c r="H578" t="str">
        <f>""</f>
        <v/>
      </c>
      <c r="I578" t="str">
        <f t="shared" si="69"/>
        <v xml:space="preserve">                                                     </v>
      </c>
      <c r="J578" t="str">
        <f>""</f>
        <v/>
      </c>
    </row>
    <row r="579" spans="1:10">
      <c r="A579" s="1" t="str">
        <f t="shared" si="70"/>
        <v>3d6.4s.(6D&lt;7/2&gt;).4f</v>
      </c>
      <c r="B579" t="str">
        <f>"2[11/2]*"</f>
        <v>2[11/2]*</v>
      </c>
      <c r="C579" t="str">
        <f>"6"</f>
        <v>6</v>
      </c>
      <c r="D579" t="str">
        <f>""</f>
        <v/>
      </c>
      <c r="E579" t="str">
        <f>"57146.772"</f>
        <v>57146.772</v>
      </c>
      <c r="F579" t="str">
        <f>""</f>
        <v/>
      </c>
      <c r="G579" t="str">
        <f t="shared" si="71"/>
        <v>0.001</v>
      </c>
      <c r="H579" t="str">
        <f>""</f>
        <v/>
      </c>
      <c r="I579" t="str">
        <f t="shared" si="69"/>
        <v xml:space="preserve">                                                     </v>
      </c>
      <c r="J579" t="str">
        <f>""</f>
        <v/>
      </c>
    </row>
    <row r="580" spans="1:10">
      <c r="A580" s="1" t="str">
        <f t="shared" si="70"/>
        <v>3d6.4s.(6D&lt;7/2&gt;).4f</v>
      </c>
      <c r="B580" t="str">
        <f>"2[11/2]*"</f>
        <v>2[11/2]*</v>
      </c>
      <c r="C580" t="str">
        <f>"5"</f>
        <v>5</v>
      </c>
      <c r="D580" t="str">
        <f>""</f>
        <v/>
      </c>
      <c r="E580" t="str">
        <f>"57147.784"</f>
        <v>57147.784</v>
      </c>
      <c r="F580" t="str">
        <f>""</f>
        <v/>
      </c>
      <c r="G580" t="str">
        <f t="shared" si="71"/>
        <v>0.001</v>
      </c>
      <c r="H580" t="str">
        <f>""</f>
        <v/>
      </c>
      <c r="I580" t="str">
        <f t="shared" si="69"/>
        <v xml:space="preserve">                                                     </v>
      </c>
      <c r="J580" t="str">
        <f>""</f>
        <v/>
      </c>
    </row>
    <row r="581" spans="1:10">
      <c r="A581" s="1" t="str">
        <f t="shared" si="70"/>
        <v>3d6.4s.(6D&lt;7/2&gt;).4f</v>
      </c>
      <c r="B581" t="str">
        <f>"2[7/2]*"</f>
        <v>2[7/2]*</v>
      </c>
      <c r="C581" t="str">
        <f>"4"</f>
        <v>4</v>
      </c>
      <c r="D581" t="str">
        <f>""</f>
        <v/>
      </c>
      <c r="E581" t="str">
        <f>"57149.113"</f>
        <v>57149.113</v>
      </c>
      <c r="F581" t="str">
        <f>""</f>
        <v/>
      </c>
      <c r="G581" t="str">
        <f t="shared" si="71"/>
        <v>0.001</v>
      </c>
      <c r="H581" t="str">
        <f>""</f>
        <v/>
      </c>
      <c r="I581" t="str">
        <f t="shared" si="69"/>
        <v xml:space="preserve">                                                     </v>
      </c>
      <c r="J581" t="str">
        <f>""</f>
        <v/>
      </c>
    </row>
    <row r="582" spans="1:10">
      <c r="A582" s="1" t="str">
        <f t="shared" si="70"/>
        <v>3d6.4s.(6D&lt;7/2&gt;).4f</v>
      </c>
      <c r="B582" t="str">
        <f>"2[7/2]*"</f>
        <v>2[7/2]*</v>
      </c>
      <c r="C582" t="str">
        <f>"3"</f>
        <v>3</v>
      </c>
      <c r="D582" t="str">
        <f>""</f>
        <v/>
      </c>
      <c r="E582" t="str">
        <f>"57149.702"</f>
        <v>57149.702</v>
      </c>
      <c r="F582" t="str">
        <f>""</f>
        <v/>
      </c>
      <c r="G582" t="str">
        <f t="shared" si="71"/>
        <v>0.001</v>
      </c>
      <c r="H582" t="str">
        <f>""</f>
        <v/>
      </c>
      <c r="I582" t="str">
        <f t="shared" si="69"/>
        <v xml:space="preserve">                                                     </v>
      </c>
      <c r="J582" t="str">
        <f>""</f>
        <v/>
      </c>
    </row>
    <row r="583" spans="1:10">
      <c r="A583" s="1" t="str">
        <f t="shared" si="70"/>
        <v>3d6.4s.(6D&lt;7/2&gt;).4f</v>
      </c>
      <c r="B583" t="str">
        <f>"2[5/2]*"</f>
        <v>2[5/2]*</v>
      </c>
      <c r="C583" t="str">
        <f>"3"</f>
        <v>3</v>
      </c>
      <c r="D583" t="str">
        <f>""</f>
        <v/>
      </c>
      <c r="E583" t="str">
        <f>"57149.845"</f>
        <v>57149.845</v>
      </c>
      <c r="F583" t="str">
        <f>""</f>
        <v/>
      </c>
      <c r="G583" t="str">
        <f>"0.002"</f>
        <v>0.002</v>
      </c>
      <c r="H583" t="str">
        <f>""</f>
        <v/>
      </c>
      <c r="I583" t="str">
        <f t="shared" si="69"/>
        <v xml:space="preserve">                                                     </v>
      </c>
      <c r="J583" t="str">
        <f>""</f>
        <v/>
      </c>
    </row>
    <row r="584" spans="1:10">
      <c r="A584" s="1" t="str">
        <f t="shared" si="70"/>
        <v>3d6.4s.(6D&lt;7/2&gt;).4f</v>
      </c>
      <c r="B584" t="str">
        <f>"2[5/2]*"</f>
        <v>2[5/2]*</v>
      </c>
      <c r="C584" t="str">
        <f>"2"</f>
        <v>2</v>
      </c>
      <c r="D584" t="str">
        <f>""</f>
        <v/>
      </c>
      <c r="E584" t="str">
        <f>"57152.415"</f>
        <v>57152.415</v>
      </c>
      <c r="F584" t="str">
        <f>""</f>
        <v/>
      </c>
      <c r="G584" t="str">
        <f>"0.001"</f>
        <v>0.001</v>
      </c>
      <c r="H584" t="str">
        <f>""</f>
        <v/>
      </c>
      <c r="I584" t="str">
        <f t="shared" si="69"/>
        <v xml:space="preserve">                                                     </v>
      </c>
      <c r="J584" t="str">
        <f>""</f>
        <v/>
      </c>
    </row>
    <row r="585" spans="1:10">
      <c r="A585" s="1" t="str">
        <f t="shared" si="70"/>
        <v>3d6.4s.(6D&lt;7/2&gt;).4f</v>
      </c>
      <c r="B585" t="str">
        <f>"2[3/2]*"</f>
        <v>2[3/2]*</v>
      </c>
      <c r="C585" t="str">
        <f>"1"</f>
        <v>1</v>
      </c>
      <c r="D585" t="str">
        <f>""</f>
        <v/>
      </c>
      <c r="E585" t="str">
        <f>"57152.267"</f>
        <v>57152.267</v>
      </c>
      <c r="F585" t="str">
        <f>""</f>
        <v/>
      </c>
      <c r="G585" t="str">
        <f>"0.002"</f>
        <v>0.002</v>
      </c>
      <c r="H585" t="str">
        <f>""</f>
        <v/>
      </c>
      <c r="I585" t="str">
        <f t="shared" si="69"/>
        <v xml:space="preserve">                                                     </v>
      </c>
      <c r="J585" t="str">
        <f>""</f>
        <v/>
      </c>
    </row>
    <row r="586" spans="1:10">
      <c r="A586" s="1" t="str">
        <f t="shared" si="70"/>
        <v>3d6.4s.(6D&lt;7/2&gt;).4f</v>
      </c>
      <c r="B586" t="str">
        <f>"2[3/2]*"</f>
        <v>2[3/2]*</v>
      </c>
      <c r="C586" t="str">
        <f>"2"</f>
        <v>2</v>
      </c>
      <c r="D586" t="str">
        <f>""</f>
        <v/>
      </c>
      <c r="E586" t="str">
        <f>"57154.269"</f>
        <v>57154.269</v>
      </c>
      <c r="F586" t="str">
        <f>""</f>
        <v/>
      </c>
      <c r="G586" t="str">
        <f>"0.002"</f>
        <v>0.002</v>
      </c>
      <c r="H586" t="str">
        <f>""</f>
        <v/>
      </c>
      <c r="I586" t="str">
        <f t="shared" si="69"/>
        <v xml:space="preserve">                                                     </v>
      </c>
      <c r="J586" t="str">
        <f>""</f>
        <v/>
      </c>
    </row>
    <row r="587" spans="1:10">
      <c r="A587" s="1" t="str">
        <f t="shared" si="70"/>
        <v>3d6.4s.(6D&lt;7/2&gt;).4f</v>
      </c>
      <c r="B587" t="str">
        <f>"2[13/2]*"</f>
        <v>2[13/2]*</v>
      </c>
      <c r="C587" t="str">
        <f>"7"</f>
        <v>7</v>
      </c>
      <c r="D587" t="str">
        <f>""</f>
        <v/>
      </c>
      <c r="E587" t="str">
        <f>"57152.335"</f>
        <v>57152.335</v>
      </c>
      <c r="F587" t="str">
        <f>""</f>
        <v/>
      </c>
      <c r="G587" t="str">
        <f>"0.002"</f>
        <v>0.002</v>
      </c>
      <c r="H587" t="str">
        <f>""</f>
        <v/>
      </c>
      <c r="I587" t="str">
        <f t="shared" si="69"/>
        <v xml:space="preserve">                                                     </v>
      </c>
      <c r="J587" t="str">
        <f>""</f>
        <v/>
      </c>
    </row>
    <row r="588" spans="1:10">
      <c r="A588" s="1" t="str">
        <f t="shared" si="70"/>
        <v>3d6.4s.(6D&lt;7/2&gt;).4f</v>
      </c>
      <c r="B588" t="str">
        <f>"2[13/2]*"</f>
        <v>2[13/2]*</v>
      </c>
      <c r="C588" t="str">
        <f>"6"</f>
        <v>6</v>
      </c>
      <c r="D588" t="str">
        <f>""</f>
        <v/>
      </c>
      <c r="E588" t="str">
        <f>"57153.171"</f>
        <v>57153.171</v>
      </c>
      <c r="F588" t="str">
        <f>""</f>
        <v/>
      </c>
      <c r="G588" t="str">
        <f>"0.002"</f>
        <v>0.002</v>
      </c>
      <c r="H588" t="str">
        <f>""</f>
        <v/>
      </c>
      <c r="I588" t="str">
        <f t="shared" si="69"/>
        <v xml:space="preserve">                                                     </v>
      </c>
      <c r="J588" t="str">
        <f>""</f>
        <v/>
      </c>
    </row>
    <row r="589" spans="1:10">
      <c r="A589" s="1" t="str">
        <f t="shared" si="70"/>
        <v>3d6.4s.(6D&lt;7/2&gt;).4f</v>
      </c>
      <c r="B589" t="str">
        <f>"2[1/2]*"</f>
        <v>2[1/2]*</v>
      </c>
      <c r="C589" t="str">
        <f>"1"</f>
        <v>1</v>
      </c>
      <c r="D589" t="str">
        <f>""</f>
        <v/>
      </c>
      <c r="E589" t="str">
        <f>"57154.996"</f>
        <v>57154.996</v>
      </c>
      <c r="F589" t="str">
        <f>""</f>
        <v/>
      </c>
      <c r="G589" t="str">
        <f>"0.003"</f>
        <v>0.003</v>
      </c>
      <c r="H589" t="str">
        <f>""</f>
        <v/>
      </c>
      <c r="I589" t="str">
        <f t="shared" si="69"/>
        <v xml:space="preserve">                                                     </v>
      </c>
      <c r="J589" t="str">
        <f>""</f>
        <v/>
      </c>
    </row>
    <row r="590" spans="1:10">
      <c r="A590" s="1" t="str">
        <f t="shared" si="70"/>
        <v>3d6.4s.(6D&lt;7/2&gt;).4f</v>
      </c>
      <c r="B590" t="str">
        <f>"2[1/2]*"</f>
        <v>2[1/2]*</v>
      </c>
      <c r="C590" t="str">
        <f>"0"</f>
        <v>0</v>
      </c>
      <c r="D590" t="str">
        <f>""</f>
        <v/>
      </c>
      <c r="E590" t="str">
        <f>"57156.059"</f>
        <v>57156.059</v>
      </c>
      <c r="F590" t="str">
        <f>""</f>
        <v/>
      </c>
      <c r="G590" t="str">
        <f>"0.002"</f>
        <v>0.002</v>
      </c>
      <c r="H590" t="str">
        <f>""</f>
        <v/>
      </c>
      <c r="I590" t="str">
        <f t="shared" si="69"/>
        <v xml:space="preserve">                                                     </v>
      </c>
      <c r="J590" t="str">
        <f>""</f>
        <v/>
      </c>
    </row>
    <row r="591" spans="1:10">
      <c r="A591" s="1" t="str">
        <f>"3d6.4s.(6D).5d"</f>
        <v>3d6.4s.(6D).5d</v>
      </c>
      <c r="B591" t="str">
        <f>"5P"</f>
        <v>5P</v>
      </c>
      <c r="C591" t="str">
        <f>"3"</f>
        <v>3</v>
      </c>
      <c r="D591" t="str">
        <f>""</f>
        <v/>
      </c>
      <c r="E591" t="str">
        <f>"57160.142"</f>
        <v>57160.142</v>
      </c>
      <c r="F591" t="str">
        <f>""</f>
        <v/>
      </c>
      <c r="G591" t="str">
        <f>"0.002"</f>
        <v>0.002</v>
      </c>
      <c r="H591" t="str">
        <f>""</f>
        <v/>
      </c>
      <c r="I591" t="str">
        <f t="shared" si="69"/>
        <v xml:space="preserve">                                                     </v>
      </c>
      <c r="J591" t="str">
        <f>""</f>
        <v/>
      </c>
    </row>
    <row r="592" spans="1:10">
      <c r="A592" s="1" t="str">
        <f>"3d6.4s.(6D).5d"</f>
        <v>3d6.4s.(6D).5d</v>
      </c>
      <c r="B592" t="str">
        <f>"5P"</f>
        <v>5P</v>
      </c>
      <c r="C592" t="str">
        <f>"2"</f>
        <v>2</v>
      </c>
      <c r="D592" t="str">
        <f>""</f>
        <v/>
      </c>
      <c r="E592" t="str">
        <f>"57403.134"</f>
        <v>57403.134</v>
      </c>
      <c r="F592" t="str">
        <f>""</f>
        <v/>
      </c>
      <c r="G592" t="str">
        <f>"0.002"</f>
        <v>0.002</v>
      </c>
      <c r="H592" t="str">
        <f>""</f>
        <v/>
      </c>
      <c r="I592" t="str">
        <f t="shared" si="69"/>
        <v xml:space="preserve">                                                     </v>
      </c>
      <c r="J592" t="str">
        <f>""</f>
        <v/>
      </c>
    </row>
    <row r="593" spans="1:10">
      <c r="A593" s="1" t="str">
        <f t="shared" ref="A593:A603" si="72">"3d6.4s.(6D&lt;5/2&gt;).4f"</f>
        <v>3d6.4s.(6D&lt;5/2&gt;).4f</v>
      </c>
      <c r="B593" t="str">
        <f>"2[1/2]*"</f>
        <v>2[1/2]*</v>
      </c>
      <c r="C593" t="str">
        <f>"1"</f>
        <v>1</v>
      </c>
      <c r="D593" t="str">
        <f>""</f>
        <v/>
      </c>
      <c r="E593" t="str">
        <f>"57421.469"</f>
        <v>57421.469</v>
      </c>
      <c r="F593" t="str">
        <f>""</f>
        <v/>
      </c>
      <c r="G593" t="str">
        <f>"0.003"</f>
        <v>0.003</v>
      </c>
      <c r="H593" t="str">
        <f>""</f>
        <v/>
      </c>
      <c r="I593" t="str">
        <f t="shared" si="69"/>
        <v xml:space="preserve">                                                     </v>
      </c>
      <c r="J593" t="str">
        <f>""</f>
        <v/>
      </c>
    </row>
    <row r="594" spans="1:10">
      <c r="A594" s="1" t="str">
        <f t="shared" si="72"/>
        <v>3d6.4s.(6D&lt;5/2&gt;).4f</v>
      </c>
      <c r="B594" t="str">
        <f>"2[3/2]*"</f>
        <v>2[3/2]*</v>
      </c>
      <c r="C594" t="str">
        <f>"1"</f>
        <v>1</v>
      </c>
      <c r="D594" t="str">
        <f>""</f>
        <v/>
      </c>
      <c r="E594" t="str">
        <f>"57426.437"</f>
        <v>57426.437</v>
      </c>
      <c r="F594" t="str">
        <f>""</f>
        <v/>
      </c>
      <c r="G594" t="str">
        <f>"0.002"</f>
        <v>0.002</v>
      </c>
      <c r="H594" t="str">
        <f>""</f>
        <v/>
      </c>
      <c r="I594" t="str">
        <f t="shared" si="69"/>
        <v xml:space="preserve">                                                     </v>
      </c>
      <c r="J594" t="str">
        <f>""</f>
        <v/>
      </c>
    </row>
    <row r="595" spans="1:10">
      <c r="A595" s="1" t="str">
        <f t="shared" si="72"/>
        <v>3d6.4s.(6D&lt;5/2&gt;).4f</v>
      </c>
      <c r="B595" t="str">
        <f>"2[3/2]*"</f>
        <v>2[3/2]*</v>
      </c>
      <c r="C595" t="str">
        <f>"2"</f>
        <v>2</v>
      </c>
      <c r="D595" t="str">
        <f>""</f>
        <v/>
      </c>
      <c r="E595" t="str">
        <f>"57427.576"</f>
        <v>57427.576</v>
      </c>
      <c r="F595" t="str">
        <f>""</f>
        <v/>
      </c>
      <c r="G595" t="str">
        <f>"0.002"</f>
        <v>0.002</v>
      </c>
      <c r="H595" t="str">
        <f>""</f>
        <v/>
      </c>
      <c r="I595" t="str">
        <f t="shared" si="69"/>
        <v xml:space="preserve">                                                     </v>
      </c>
      <c r="J595" t="str">
        <f>""</f>
        <v/>
      </c>
    </row>
    <row r="596" spans="1:10">
      <c r="A596" s="1" t="str">
        <f t="shared" si="72"/>
        <v>3d6.4s.(6D&lt;5/2&gt;).4f</v>
      </c>
      <c r="B596" t="str">
        <f>"2[11/2]*"</f>
        <v>2[11/2]*</v>
      </c>
      <c r="C596" t="str">
        <f>"6"</f>
        <v>6</v>
      </c>
      <c r="D596" t="str">
        <f>""</f>
        <v/>
      </c>
      <c r="E596" t="str">
        <f>"57428.064"</f>
        <v>57428.064</v>
      </c>
      <c r="F596" t="str">
        <f>""</f>
        <v/>
      </c>
      <c r="G596" t="str">
        <f>"0.002"</f>
        <v>0.002</v>
      </c>
      <c r="H596" t="str">
        <f>""</f>
        <v/>
      </c>
      <c r="I596" t="str">
        <f t="shared" si="69"/>
        <v xml:space="preserve">                                                     </v>
      </c>
      <c r="J596" t="str">
        <f>""</f>
        <v/>
      </c>
    </row>
    <row r="597" spans="1:10">
      <c r="A597" s="1" t="str">
        <f t="shared" si="72"/>
        <v>3d6.4s.(6D&lt;5/2&gt;).4f</v>
      </c>
      <c r="B597" t="str">
        <f>"2[11/2]*"</f>
        <v>2[11/2]*</v>
      </c>
      <c r="C597" t="str">
        <f>"5"</f>
        <v>5</v>
      </c>
      <c r="D597" t="str">
        <f>""</f>
        <v/>
      </c>
      <c r="E597" t="str">
        <f>"57429.097"</f>
        <v>57429.097</v>
      </c>
      <c r="F597" t="str">
        <f>""</f>
        <v/>
      </c>
      <c r="G597" t="str">
        <f>"0.001"</f>
        <v>0.001</v>
      </c>
      <c r="H597" t="str">
        <f>""</f>
        <v/>
      </c>
      <c r="I597" t="str">
        <f t="shared" si="69"/>
        <v xml:space="preserve">                                                     </v>
      </c>
      <c r="J597" t="str">
        <f>""</f>
        <v/>
      </c>
    </row>
    <row r="598" spans="1:10">
      <c r="A598" s="1" t="str">
        <f t="shared" si="72"/>
        <v>3d6.4s.(6D&lt;5/2&gt;).4f</v>
      </c>
      <c r="B598" t="str">
        <f>"2[5/2]*"</f>
        <v>2[5/2]*</v>
      </c>
      <c r="C598" t="str">
        <f>"2"</f>
        <v>2</v>
      </c>
      <c r="D598" t="str">
        <f>""</f>
        <v/>
      </c>
      <c r="E598" t="str">
        <f>"57431.116"</f>
        <v>57431.116</v>
      </c>
      <c r="F598" t="str">
        <f>""</f>
        <v/>
      </c>
      <c r="G598" t="str">
        <f>"0.002"</f>
        <v>0.002</v>
      </c>
      <c r="H598" t="str">
        <f>""</f>
        <v/>
      </c>
      <c r="I598" t="str">
        <f t="shared" si="69"/>
        <v xml:space="preserve">                                                     </v>
      </c>
      <c r="J598" t="str">
        <f>""</f>
        <v/>
      </c>
    </row>
    <row r="599" spans="1:10">
      <c r="A599" s="1" t="str">
        <f t="shared" si="72"/>
        <v>3d6.4s.(6D&lt;5/2&gt;).4f</v>
      </c>
      <c r="B599" t="str">
        <f>"2[5/2]*"</f>
        <v>2[5/2]*</v>
      </c>
      <c r="C599" t="str">
        <f>"3"</f>
        <v>3</v>
      </c>
      <c r="D599" t="str">
        <f>""</f>
        <v/>
      </c>
      <c r="E599" t="str">
        <f>"57432.848"</f>
        <v>57432.848</v>
      </c>
      <c r="F599" t="str">
        <f>""</f>
        <v/>
      </c>
      <c r="G599" t="str">
        <f>"0.001"</f>
        <v>0.001</v>
      </c>
      <c r="H599" t="str">
        <f>""</f>
        <v/>
      </c>
      <c r="I599" t="str">
        <f t="shared" si="69"/>
        <v xml:space="preserve">                                                     </v>
      </c>
      <c r="J599" t="str">
        <f>""</f>
        <v/>
      </c>
    </row>
    <row r="600" spans="1:10">
      <c r="A600" s="1" t="str">
        <f t="shared" si="72"/>
        <v>3d6.4s.(6D&lt;5/2&gt;).4f</v>
      </c>
      <c r="B600" t="str">
        <f>"2[7/2]*"</f>
        <v>2[7/2]*</v>
      </c>
      <c r="C600" t="str">
        <f>"4"</f>
        <v>4</v>
      </c>
      <c r="D600" t="str">
        <f>""</f>
        <v/>
      </c>
      <c r="E600" t="str">
        <f>"57437.801"</f>
        <v>57437.801</v>
      </c>
      <c r="F600" t="str">
        <f>""</f>
        <v/>
      </c>
      <c r="G600" t="str">
        <f>"0.001"</f>
        <v>0.001</v>
      </c>
      <c r="H600" t="str">
        <f>""</f>
        <v/>
      </c>
      <c r="I600" t="str">
        <f t="shared" si="69"/>
        <v xml:space="preserve">                                                     </v>
      </c>
      <c r="J600" t="str">
        <f>""</f>
        <v/>
      </c>
    </row>
    <row r="601" spans="1:10">
      <c r="A601" s="1" t="str">
        <f t="shared" si="72"/>
        <v>3d6.4s.(6D&lt;5/2&gt;).4f</v>
      </c>
      <c r="B601" t="str">
        <f>"2[7/2]*"</f>
        <v>2[7/2]*</v>
      </c>
      <c r="C601" t="str">
        <f>"3"</f>
        <v>3</v>
      </c>
      <c r="D601" t="str">
        <f>""</f>
        <v/>
      </c>
      <c r="E601" t="str">
        <f>"57439.486"</f>
        <v>57439.486</v>
      </c>
      <c r="F601" t="str">
        <f>""</f>
        <v/>
      </c>
      <c r="G601" t="str">
        <f>"0.001"</f>
        <v>0.001</v>
      </c>
      <c r="H601" t="str">
        <f>""</f>
        <v/>
      </c>
      <c r="I601" t="str">
        <f t="shared" si="69"/>
        <v xml:space="preserve">                                                     </v>
      </c>
      <c r="J601" t="str">
        <f>""</f>
        <v/>
      </c>
    </row>
    <row r="602" spans="1:10">
      <c r="A602" s="1" t="str">
        <f t="shared" si="72"/>
        <v>3d6.4s.(6D&lt;5/2&gt;).4f</v>
      </c>
      <c r="B602" t="str">
        <f>"2[9/2]*"</f>
        <v>2[9/2]*</v>
      </c>
      <c r="C602" t="str">
        <f>"5"</f>
        <v>5</v>
      </c>
      <c r="D602" t="str">
        <f>""</f>
        <v/>
      </c>
      <c r="E602" t="str">
        <f>"57437.928"</f>
        <v>57437.928</v>
      </c>
      <c r="F602" t="str">
        <f>""</f>
        <v/>
      </c>
      <c r="G602" t="str">
        <f>"0.001"</f>
        <v>0.001</v>
      </c>
      <c r="H602" t="str">
        <f>""</f>
        <v/>
      </c>
      <c r="I602" t="str">
        <f t="shared" si="69"/>
        <v xml:space="preserve">                                                     </v>
      </c>
      <c r="J602" t="str">
        <f>""</f>
        <v/>
      </c>
    </row>
    <row r="603" spans="1:10">
      <c r="A603" s="1" t="str">
        <f t="shared" si="72"/>
        <v>3d6.4s.(6D&lt;5/2&gt;).4f</v>
      </c>
      <c r="B603" t="str">
        <f>"2[9/2]*"</f>
        <v>2[9/2]*</v>
      </c>
      <c r="C603" t="str">
        <f>"4"</f>
        <v>4</v>
      </c>
      <c r="D603" t="str">
        <f>""</f>
        <v/>
      </c>
      <c r="E603" t="str">
        <f>"57439.223"</f>
        <v>57439.223</v>
      </c>
      <c r="F603" t="str">
        <f>""</f>
        <v/>
      </c>
      <c r="G603" t="str">
        <f>"0.001"</f>
        <v>0.001</v>
      </c>
      <c r="H603" t="str">
        <f>""</f>
        <v/>
      </c>
      <c r="I603" t="str">
        <f t="shared" si="69"/>
        <v xml:space="preserve">                                                     </v>
      </c>
      <c r="J603" t="str">
        <f>""</f>
        <v/>
      </c>
    </row>
    <row r="604" spans="1:10">
      <c r="A604" s="1" t="str">
        <f>"3d6.4s.(6D).5d"</f>
        <v>3d6.4s.(6D).5d</v>
      </c>
      <c r="B604" t="str">
        <f>"7S"</f>
        <v>7S</v>
      </c>
      <c r="C604" t="str">
        <f>"3"</f>
        <v>3</v>
      </c>
      <c r="D604" t="str">
        <f>""</f>
        <v/>
      </c>
      <c r="E604" t="str">
        <f>"57438.267"</f>
        <v>57438.267</v>
      </c>
      <c r="F604" t="str">
        <f>""</f>
        <v/>
      </c>
      <c r="G604" t="str">
        <f>"0.002"</f>
        <v>0.002</v>
      </c>
      <c r="H604" t="str">
        <f>""</f>
        <v/>
      </c>
      <c r="I604" t="str">
        <f t="shared" si="69"/>
        <v xml:space="preserve">                                                     </v>
      </c>
      <c r="J604" t="str">
        <f>""</f>
        <v/>
      </c>
    </row>
    <row r="605" spans="1:10">
      <c r="A605" s="1" t="str">
        <f>"3d6.(3D).4s.4p.(3P*)"</f>
        <v>3d6.(3D).4s.4p.(3P*)</v>
      </c>
      <c r="B605" t="str">
        <f>"t 3F*"</f>
        <v>t 3F*</v>
      </c>
      <c r="C605" t="str">
        <f>"4"</f>
        <v>4</v>
      </c>
      <c r="D605" t="str">
        <f>""</f>
        <v/>
      </c>
      <c r="E605" t="str">
        <f>"57550.010"</f>
        <v>57550.010</v>
      </c>
      <c r="F605" t="str">
        <f>""</f>
        <v/>
      </c>
      <c r="G605" t="str">
        <f>"0.003"</f>
        <v>0.003</v>
      </c>
      <c r="H605" t="str">
        <f>"1.235"</f>
        <v>1.235</v>
      </c>
      <c r="I605" t="str">
        <f>"  67             :    15  3d6.(3F2).4s.4p.(1P*) 3F*  "</f>
        <v xml:space="preserve">  67             :    15  3d6.(3F2).4s.4p.(1P*) 3F*  </v>
      </c>
      <c r="J605" t="str">
        <f>""</f>
        <v/>
      </c>
    </row>
    <row r="606" spans="1:10">
      <c r="A606" s="1" t="str">
        <f>"3d6.(3D).4s.4p.(3P*)"</f>
        <v>3d6.(3D).4s.4p.(3P*)</v>
      </c>
      <c r="B606" t="str">
        <f>"t 3F*"</f>
        <v>t 3F*</v>
      </c>
      <c r="C606" t="str">
        <f>"3"</f>
        <v>3</v>
      </c>
      <c r="D606" t="str">
        <f>""</f>
        <v/>
      </c>
      <c r="E606" t="str">
        <f>"57641.001"</f>
        <v>57641.001</v>
      </c>
      <c r="F606" t="str">
        <f>""</f>
        <v/>
      </c>
      <c r="G606" t="str">
        <f>"0.002"</f>
        <v>0.002</v>
      </c>
      <c r="H606" t="str">
        <f>""</f>
        <v/>
      </c>
      <c r="I606" t="str">
        <f>"  60             :    17  3d6.(3F2).4s.4p.(1P*) 3F*  "</f>
        <v xml:space="preserve">  60             :    17  3d6.(3F2).4s.4p.(1P*) 3F*  </v>
      </c>
      <c r="J606" t="str">
        <f>""</f>
        <v/>
      </c>
    </row>
    <row r="607" spans="1:10">
      <c r="A607" s="1" t="str">
        <f>"3d6.(3D).4s.4p.(3P*)"</f>
        <v>3d6.(3D).4s.4p.(3P*)</v>
      </c>
      <c r="B607" t="str">
        <f>"t 3F*"</f>
        <v>t 3F*</v>
      </c>
      <c r="C607" t="str">
        <f>"2"</f>
        <v>2</v>
      </c>
      <c r="D607" t="str">
        <f>""</f>
        <v/>
      </c>
      <c r="E607" t="str">
        <f>"57708.741"</f>
        <v>57708.741</v>
      </c>
      <c r="F607" t="str">
        <f>""</f>
        <v/>
      </c>
      <c r="G607" t="str">
        <f>"0.003"</f>
        <v>0.003</v>
      </c>
      <c r="H607" t="str">
        <f>"0.698"</f>
        <v>0.698</v>
      </c>
      <c r="I607" t="str">
        <f>"  61             :    16  3d6.(3F2).4s.4p.(1P*) 3F*  "</f>
        <v xml:space="preserve">  61             :    16  3d6.(3F2).4s.4p.(1P*) 3F*  </v>
      </c>
      <c r="J607" t="str">
        <f>""</f>
        <v/>
      </c>
    </row>
    <row r="608" spans="1:10">
      <c r="A608" s="1" t="str">
        <f>"3d6.(3P2).4s.4p.(1P*)"</f>
        <v>3d6.(3P2).4s.4p.(1P*)</v>
      </c>
      <c r="B608" t="str">
        <f>"3D*"</f>
        <v>3D*</v>
      </c>
      <c r="C608" t="str">
        <f>"3"</f>
        <v>3</v>
      </c>
      <c r="D608" t="str">
        <f>""</f>
        <v/>
      </c>
      <c r="E608" t="str">
        <f>"57565.305"</f>
        <v>57565.305</v>
      </c>
      <c r="F608" t="str">
        <f>""</f>
        <v/>
      </c>
      <c r="G608" t="str">
        <f>"0.002"</f>
        <v>0.002</v>
      </c>
      <c r="H608" t="str">
        <f>""</f>
        <v/>
      </c>
      <c r="I608" t="str">
        <f>"  78             :    10  3d6.(3D).4s.4p.(3P*)  1F*  "</f>
        <v xml:space="preserve">  78             :    10  3d6.(3D).4s.4p.(3P*)  1F*  </v>
      </c>
      <c r="J608" t="str">
        <f>""</f>
        <v/>
      </c>
    </row>
    <row r="609" spans="1:10">
      <c r="A609" s="1" t="str">
        <f t="shared" ref="A609:A616" si="73">"3d6.4s.(6D&lt;3/2&gt;).4f"</f>
        <v>3d6.4s.(6D&lt;3/2&gt;).4f</v>
      </c>
      <c r="B609" t="str">
        <f>"2[3/2]*"</f>
        <v>2[3/2]*</v>
      </c>
      <c r="C609" t="str">
        <f>"1"</f>
        <v>1</v>
      </c>
      <c r="D609" t="str">
        <f>""</f>
        <v/>
      </c>
      <c r="E609" t="str">
        <f>"57617.009"</f>
        <v>57617.009</v>
      </c>
      <c r="F609" t="str">
        <f>""</f>
        <v/>
      </c>
      <c r="G609" t="str">
        <f>"0.003"</f>
        <v>0.003</v>
      </c>
      <c r="H609" t="str">
        <f>""</f>
        <v/>
      </c>
      <c r="I609" t="str">
        <f t="shared" ref="I609:I640" si="74">"                                                     "</f>
        <v xml:space="preserve">                                                     </v>
      </c>
      <c r="J609" t="str">
        <f>""</f>
        <v/>
      </c>
    </row>
    <row r="610" spans="1:10">
      <c r="A610" s="1" t="str">
        <f t="shared" si="73"/>
        <v>3d6.4s.(6D&lt;3/2&gt;).4f</v>
      </c>
      <c r="B610" t="str">
        <f>"2[3/2]*"</f>
        <v>2[3/2]*</v>
      </c>
      <c r="C610" t="str">
        <f>"2"</f>
        <v>2</v>
      </c>
      <c r="D610" t="str">
        <f>""</f>
        <v/>
      </c>
      <c r="E610" t="str">
        <f>"57618.806"</f>
        <v>57618.806</v>
      </c>
      <c r="F610" t="str">
        <f>""</f>
        <v/>
      </c>
      <c r="G610" t="str">
        <f>"0.002"</f>
        <v>0.002</v>
      </c>
      <c r="H610" t="str">
        <f>""</f>
        <v/>
      </c>
      <c r="I610" t="str">
        <f t="shared" si="74"/>
        <v xml:space="preserve">                                                     </v>
      </c>
      <c r="J610" t="str">
        <f>""</f>
        <v/>
      </c>
    </row>
    <row r="611" spans="1:10">
      <c r="A611" s="1" t="str">
        <f t="shared" si="73"/>
        <v>3d6.4s.(6D&lt;3/2&gt;).4f</v>
      </c>
      <c r="B611" t="str">
        <f>"2[9/2]*"</f>
        <v>2[9/2]*</v>
      </c>
      <c r="C611" t="str">
        <f>"5"</f>
        <v>5</v>
      </c>
      <c r="D611" t="str">
        <f>""</f>
        <v/>
      </c>
      <c r="E611" t="str">
        <f>"57620.792"</f>
        <v>57620.792</v>
      </c>
      <c r="F611" t="str">
        <f>""</f>
        <v/>
      </c>
      <c r="G611" t="str">
        <f>"0.002"</f>
        <v>0.002</v>
      </c>
      <c r="H611" t="str">
        <f>""</f>
        <v/>
      </c>
      <c r="I611" t="str">
        <f t="shared" si="74"/>
        <v xml:space="preserve">                                                     </v>
      </c>
      <c r="J611" t="str">
        <f>""</f>
        <v/>
      </c>
    </row>
    <row r="612" spans="1:10">
      <c r="A612" s="1" t="str">
        <f t="shared" si="73"/>
        <v>3d6.4s.(6D&lt;3/2&gt;).4f</v>
      </c>
      <c r="B612" t="str">
        <f>"2[9/2]*"</f>
        <v>2[9/2]*</v>
      </c>
      <c r="C612" t="str">
        <f>"4"</f>
        <v>4</v>
      </c>
      <c r="D612" t="str">
        <f>""</f>
        <v/>
      </c>
      <c r="E612" t="str">
        <f>"57621.928"</f>
        <v>57621.928</v>
      </c>
      <c r="F612" t="str">
        <f>""</f>
        <v/>
      </c>
      <c r="G612" t="str">
        <f>"0.002"</f>
        <v>0.002</v>
      </c>
      <c r="H612" t="str">
        <f>""</f>
        <v/>
      </c>
      <c r="I612" t="str">
        <f t="shared" si="74"/>
        <v xml:space="preserve">                                                     </v>
      </c>
      <c r="J612" t="str">
        <f>""</f>
        <v/>
      </c>
    </row>
    <row r="613" spans="1:10">
      <c r="A613" s="1" t="str">
        <f t="shared" si="73"/>
        <v>3d6.4s.(6D&lt;3/2&gt;).4f</v>
      </c>
      <c r="B613" t="str">
        <f>"2[5/2]*"</f>
        <v>2[5/2]*</v>
      </c>
      <c r="C613" t="str">
        <f>"3"</f>
        <v>3</v>
      </c>
      <c r="D613" t="str">
        <f>""</f>
        <v/>
      </c>
      <c r="E613" t="str">
        <f>"57631.095"</f>
        <v>57631.095</v>
      </c>
      <c r="F613" t="str">
        <f>""</f>
        <v/>
      </c>
      <c r="G613" t="str">
        <f>"0.001"</f>
        <v>0.001</v>
      </c>
      <c r="H613" t="str">
        <f>""</f>
        <v/>
      </c>
      <c r="I613" t="str">
        <f t="shared" si="74"/>
        <v xml:space="preserve">                                                     </v>
      </c>
      <c r="J613" t="str">
        <f>""</f>
        <v/>
      </c>
    </row>
    <row r="614" spans="1:10">
      <c r="A614" s="1" t="str">
        <f t="shared" si="73"/>
        <v>3d6.4s.(6D&lt;3/2&gt;).4f</v>
      </c>
      <c r="B614" t="str">
        <f>"2[5/2]*"</f>
        <v>2[5/2]*</v>
      </c>
      <c r="C614" t="str">
        <f>"2"</f>
        <v>2</v>
      </c>
      <c r="D614" t="str">
        <f>""</f>
        <v/>
      </c>
      <c r="E614" t="str">
        <f>"57632.654"</f>
        <v>57632.654</v>
      </c>
      <c r="F614" t="str">
        <f>""</f>
        <v/>
      </c>
      <c r="G614" t="str">
        <f>"0.001"</f>
        <v>0.001</v>
      </c>
      <c r="H614" t="str">
        <f>""</f>
        <v/>
      </c>
      <c r="I614" t="str">
        <f t="shared" si="74"/>
        <v xml:space="preserve">                                                     </v>
      </c>
      <c r="J614" t="str">
        <f>""</f>
        <v/>
      </c>
    </row>
    <row r="615" spans="1:10">
      <c r="A615" s="1" t="str">
        <f t="shared" si="73"/>
        <v>3d6.4s.(6D&lt;3/2&gt;).4f</v>
      </c>
      <c r="B615" t="str">
        <f>"2[7/2]*"</f>
        <v>2[7/2]*</v>
      </c>
      <c r="C615" t="str">
        <f>"4"</f>
        <v>4</v>
      </c>
      <c r="D615" t="str">
        <f>""</f>
        <v/>
      </c>
      <c r="E615" t="str">
        <f>"57641.219"</f>
        <v>57641.219</v>
      </c>
      <c r="F615" t="str">
        <f>""</f>
        <v/>
      </c>
      <c r="G615" t="str">
        <f>"0.001"</f>
        <v>0.001</v>
      </c>
      <c r="H615" t="str">
        <f>""</f>
        <v/>
      </c>
      <c r="I615" t="str">
        <f t="shared" si="74"/>
        <v xml:space="preserve">                                                     </v>
      </c>
      <c r="J615" t="str">
        <f>""</f>
        <v/>
      </c>
    </row>
    <row r="616" spans="1:10">
      <c r="A616" s="1" t="str">
        <f t="shared" si="73"/>
        <v>3d6.4s.(6D&lt;3/2&gt;).4f</v>
      </c>
      <c r="B616" t="str">
        <f>"2[7/2]*"</f>
        <v>2[7/2]*</v>
      </c>
      <c r="C616" t="str">
        <f>"3"</f>
        <v>3</v>
      </c>
      <c r="D616" t="str">
        <f>""</f>
        <v/>
      </c>
      <c r="E616" t="str">
        <f>"57642.383"</f>
        <v>57642.383</v>
      </c>
      <c r="F616" t="str">
        <f>""</f>
        <v/>
      </c>
      <c r="G616" t="str">
        <f>"0.001"</f>
        <v>0.001</v>
      </c>
      <c r="H616" t="str">
        <f>""</f>
        <v/>
      </c>
      <c r="I616" t="str">
        <f t="shared" si="74"/>
        <v xml:space="preserve">                                                     </v>
      </c>
      <c r="J616" t="str">
        <f>""</f>
        <v/>
      </c>
    </row>
    <row r="617" spans="1:10">
      <c r="A617" s="1" t="str">
        <f>"3d6.4s.(4D).4d"</f>
        <v>3d6.4s.(4D).4d</v>
      </c>
      <c r="B617" t="str">
        <f>"5F"</f>
        <v>5F</v>
      </c>
      <c r="C617" t="str">
        <f>"5"</f>
        <v>5</v>
      </c>
      <c r="D617" t="str">
        <f>""</f>
        <v/>
      </c>
      <c r="E617" t="str">
        <f>"57660.953"</f>
        <v>57660.953</v>
      </c>
      <c r="F617" t="str">
        <f>""</f>
        <v/>
      </c>
      <c r="G617" t="str">
        <f>"0.003"</f>
        <v>0.003</v>
      </c>
      <c r="H617" t="str">
        <f>""</f>
        <v/>
      </c>
      <c r="I617" t="str">
        <f t="shared" si="74"/>
        <v xml:space="preserve">                                                     </v>
      </c>
      <c r="J617" t="str">
        <f>""</f>
        <v/>
      </c>
    </row>
    <row r="618" spans="1:10">
      <c r="A618" s="1" t="str">
        <f>"3d6.4s.(4D).4d"</f>
        <v>3d6.4s.(4D).4d</v>
      </c>
      <c r="B618" t="str">
        <f>"5F"</f>
        <v>5F</v>
      </c>
      <c r="C618" t="str">
        <f>"4"</f>
        <v>4</v>
      </c>
      <c r="D618" t="str">
        <f>""</f>
        <v/>
      </c>
      <c r="E618" t="str">
        <f>"58118.875"</f>
        <v>58118.875</v>
      </c>
      <c r="F618" t="str">
        <f>""</f>
        <v/>
      </c>
      <c r="G618" t="str">
        <f>"0.003"</f>
        <v>0.003</v>
      </c>
      <c r="H618" t="str">
        <f>""</f>
        <v/>
      </c>
      <c r="I618" t="str">
        <f t="shared" si="74"/>
        <v xml:space="preserve">                                                     </v>
      </c>
      <c r="J618" t="str">
        <f>""</f>
        <v/>
      </c>
    </row>
    <row r="619" spans="1:10">
      <c r="A619" s="1" t="str">
        <f>"3d6.4s.(4D).4d"</f>
        <v>3d6.4s.(4D).4d</v>
      </c>
      <c r="B619" t="str">
        <f>"5F"</f>
        <v>5F</v>
      </c>
      <c r="C619" t="str">
        <f>"3"</f>
        <v>3</v>
      </c>
      <c r="D619" t="str">
        <f>""</f>
        <v/>
      </c>
      <c r="E619" t="str">
        <f>"58132.081"</f>
        <v>58132.081</v>
      </c>
      <c r="F619" t="str">
        <f>""</f>
        <v/>
      </c>
      <c r="G619" t="str">
        <f>"0.003"</f>
        <v>0.003</v>
      </c>
      <c r="H619" t="str">
        <f>""</f>
        <v/>
      </c>
      <c r="I619" t="str">
        <f t="shared" si="74"/>
        <v xml:space="preserve">                                                     </v>
      </c>
      <c r="J619" t="str">
        <f>""</f>
        <v/>
      </c>
    </row>
    <row r="620" spans="1:10">
      <c r="A620" s="1" t="str">
        <f>"3d6.4s.(4D).4d"</f>
        <v>3d6.4s.(4D).4d</v>
      </c>
      <c r="B620" t="str">
        <f>"5F"</f>
        <v>5F</v>
      </c>
      <c r="C620" t="str">
        <f>"1"</f>
        <v>1</v>
      </c>
      <c r="D620" t="str">
        <f>""</f>
        <v/>
      </c>
      <c r="E620" t="str">
        <f>"58363.424"</f>
        <v>58363.424</v>
      </c>
      <c r="F620" t="str">
        <f>""</f>
        <v/>
      </c>
      <c r="G620" t="str">
        <f>"0.005"</f>
        <v>0.005</v>
      </c>
      <c r="H620" t="str">
        <f>""</f>
        <v/>
      </c>
      <c r="I620" t="str">
        <f t="shared" si="74"/>
        <v xml:space="preserve">                                                     </v>
      </c>
      <c r="J620" t="str">
        <f>""</f>
        <v/>
      </c>
    </row>
    <row r="621" spans="1:10">
      <c r="A621" s="1" t="str">
        <f>"3d6.4s.(4D).4d"</f>
        <v>3d6.4s.(4D).4d</v>
      </c>
      <c r="B621" t="str">
        <f>"5F"</f>
        <v>5F</v>
      </c>
      <c r="C621" t="str">
        <f>"2"</f>
        <v>2</v>
      </c>
      <c r="D621" t="str">
        <f>""</f>
        <v/>
      </c>
      <c r="E621" t="str">
        <f>"58512.387"</f>
        <v>58512.387</v>
      </c>
      <c r="F621" t="str">
        <f>""</f>
        <v/>
      </c>
      <c r="G621" t="str">
        <f>"0.004"</f>
        <v>0.004</v>
      </c>
      <c r="H621" t="str">
        <f>""</f>
        <v/>
      </c>
      <c r="I621" t="str">
        <f t="shared" si="74"/>
        <v xml:space="preserve">                                                     </v>
      </c>
      <c r="J621" t="str">
        <f>""</f>
        <v/>
      </c>
    </row>
    <row r="622" spans="1:10">
      <c r="A622" s="1" t="str">
        <f>"3d6.(5D).4s (4D).4d"</f>
        <v>3d6.(5D).4s (4D).4d</v>
      </c>
      <c r="B622" t="str">
        <f>"i 5D"</f>
        <v>i 5D</v>
      </c>
      <c r="C622" t="str">
        <f>"4"</f>
        <v>4</v>
      </c>
      <c r="D622" t="str">
        <f>""</f>
        <v/>
      </c>
      <c r="E622" t="str">
        <f>"57697.493"</f>
        <v>57697.493</v>
      </c>
      <c r="F622" t="str">
        <f>""</f>
        <v/>
      </c>
      <c r="G622" t="str">
        <f>"0.002"</f>
        <v>0.002</v>
      </c>
      <c r="H622" t="str">
        <f>"1.384"</f>
        <v>1.384</v>
      </c>
      <c r="I622" t="str">
        <f t="shared" si="74"/>
        <v xml:space="preserve">                                                     </v>
      </c>
      <c r="J622" t="str">
        <f>""</f>
        <v/>
      </c>
    </row>
    <row r="623" spans="1:10">
      <c r="A623" s="1" t="str">
        <f>"3d6.(5D).4s (4D).4d"</f>
        <v>3d6.(5D).4s (4D).4d</v>
      </c>
      <c r="B623" t="str">
        <f>"i 5D"</f>
        <v>i 5D</v>
      </c>
      <c r="C623" t="str">
        <f>"3"</f>
        <v>3</v>
      </c>
      <c r="D623" t="str">
        <f>""</f>
        <v/>
      </c>
      <c r="E623" t="str">
        <f>"57813.942"</f>
        <v>57813.942</v>
      </c>
      <c r="F623" t="str">
        <f>""</f>
        <v/>
      </c>
      <c r="G623" t="str">
        <f>"0.002"</f>
        <v>0.002</v>
      </c>
      <c r="H623" t="str">
        <f>"1.415"</f>
        <v>1.415</v>
      </c>
      <c r="I623" t="str">
        <f t="shared" si="74"/>
        <v xml:space="preserve">                                                     </v>
      </c>
      <c r="J623" t="str">
        <f>""</f>
        <v/>
      </c>
    </row>
    <row r="624" spans="1:10">
      <c r="A624" s="1" t="str">
        <f>"3d6.(5D).4s (4D).4d"</f>
        <v>3d6.(5D).4s (4D).4d</v>
      </c>
      <c r="B624" t="str">
        <f>"i 5D"</f>
        <v>i 5D</v>
      </c>
      <c r="C624" t="str">
        <f>"2"</f>
        <v>2</v>
      </c>
      <c r="D624" t="str">
        <f>""</f>
        <v/>
      </c>
      <c r="E624" t="str">
        <f>"57974.137"</f>
        <v>57974.137</v>
      </c>
      <c r="F624" t="str">
        <f>""</f>
        <v/>
      </c>
      <c r="G624" t="str">
        <f>"0.003"</f>
        <v>0.003</v>
      </c>
      <c r="H624" t="str">
        <f>""</f>
        <v/>
      </c>
      <c r="I624" t="str">
        <f t="shared" si="74"/>
        <v xml:space="preserve">                                                     </v>
      </c>
      <c r="J624" t="str">
        <f>""</f>
        <v/>
      </c>
    </row>
    <row r="625" spans="1:10">
      <c r="A625" s="1" t="str">
        <f>"3d6.(5D).4s (4D).4d"</f>
        <v>3d6.(5D).4s (4D).4d</v>
      </c>
      <c r="B625" t="str">
        <f>"i 5D"</f>
        <v>i 5D</v>
      </c>
      <c r="C625" t="str">
        <f>"1"</f>
        <v>1</v>
      </c>
      <c r="D625" t="str">
        <f>""</f>
        <v/>
      </c>
      <c r="E625" t="str">
        <f>"58283.204"</f>
        <v>58283.204</v>
      </c>
      <c r="F625" t="str">
        <f>""</f>
        <v/>
      </c>
      <c r="G625" t="str">
        <f>"0.003"</f>
        <v>0.003</v>
      </c>
      <c r="H625" t="str">
        <f>""</f>
        <v/>
      </c>
      <c r="I625" t="str">
        <f t="shared" si="74"/>
        <v xml:space="preserve">                                                     </v>
      </c>
      <c r="J625" t="str">
        <f>""</f>
        <v/>
      </c>
    </row>
    <row r="626" spans="1:10">
      <c r="A626" s="1" t="str">
        <f>"3d6.4s.(6D&lt;1/2&gt;).4f"</f>
        <v>3d6.4s.(6D&lt;1/2&gt;).4f</v>
      </c>
      <c r="B626" t="str">
        <f>"2[5/2]*"</f>
        <v>2[5/2]*</v>
      </c>
      <c r="C626" t="str">
        <f>"3"</f>
        <v>3</v>
      </c>
      <c r="D626" t="str">
        <f>""</f>
        <v/>
      </c>
      <c r="E626" t="str">
        <f>"57743.052"</f>
        <v>57743.052</v>
      </c>
      <c r="F626" t="str">
        <f>""</f>
        <v/>
      </c>
      <c r="G626" t="str">
        <f>"0.002"</f>
        <v>0.002</v>
      </c>
      <c r="H626" t="str">
        <f>""</f>
        <v/>
      </c>
      <c r="I626" t="str">
        <f t="shared" si="74"/>
        <v xml:space="preserve">                                                     </v>
      </c>
      <c r="J626" t="str">
        <f>""</f>
        <v/>
      </c>
    </row>
    <row r="627" spans="1:10">
      <c r="A627" s="1" t="str">
        <f>"3d6.4s.(6D&lt;1/2&gt;).4f"</f>
        <v>3d6.4s.(6D&lt;1/2&gt;).4f</v>
      </c>
      <c r="B627" t="str">
        <f>"2[5/2]*"</f>
        <v>2[5/2]*</v>
      </c>
      <c r="C627" t="str">
        <f>"2"</f>
        <v>2</v>
      </c>
      <c r="D627" t="str">
        <f>""</f>
        <v/>
      </c>
      <c r="E627" t="str">
        <f>"57743.370"</f>
        <v>57743.370</v>
      </c>
      <c r="F627" t="str">
        <f>""</f>
        <v/>
      </c>
      <c r="G627" t="str">
        <f>"0.002"</f>
        <v>0.002</v>
      </c>
      <c r="H627" t="str">
        <f>""</f>
        <v/>
      </c>
      <c r="I627" t="str">
        <f t="shared" si="74"/>
        <v xml:space="preserve">                                                     </v>
      </c>
      <c r="J627" t="str">
        <f>""</f>
        <v/>
      </c>
    </row>
    <row r="628" spans="1:10">
      <c r="A628" s="1" t="str">
        <f>"3d6.4s.(6D&lt;1/2&gt;).4f"</f>
        <v>3d6.4s.(6D&lt;1/2&gt;).4f</v>
      </c>
      <c r="B628" t="str">
        <f>"2[7/2]*"</f>
        <v>2[7/2]*</v>
      </c>
      <c r="C628" t="str">
        <f>"4"</f>
        <v>4</v>
      </c>
      <c r="D628" t="str">
        <f>""</f>
        <v/>
      </c>
      <c r="E628" t="str">
        <f>"57743.133"</f>
        <v>57743.133</v>
      </c>
      <c r="F628" t="str">
        <f>""</f>
        <v/>
      </c>
      <c r="G628" t="str">
        <f>"0.001"</f>
        <v>0.001</v>
      </c>
      <c r="H628" t="str">
        <f>""</f>
        <v/>
      </c>
      <c r="I628" t="str">
        <f t="shared" si="74"/>
        <v xml:space="preserve">                                                     </v>
      </c>
      <c r="J628" t="str">
        <f>""</f>
        <v/>
      </c>
    </row>
    <row r="629" spans="1:10">
      <c r="A629" s="1" t="str">
        <f>"3d6.4s.(6D&lt;1/2&gt;).4f"</f>
        <v>3d6.4s.(6D&lt;1/2&gt;).4f</v>
      </c>
      <c r="B629" t="str">
        <f>"2[7/2]*"</f>
        <v>2[7/2]*</v>
      </c>
      <c r="C629" t="str">
        <f>"3"</f>
        <v>3</v>
      </c>
      <c r="D629" t="str">
        <f>""</f>
        <v/>
      </c>
      <c r="E629" t="str">
        <f>"57744.932"</f>
        <v>57744.932</v>
      </c>
      <c r="F629" t="str">
        <f>""</f>
        <v/>
      </c>
      <c r="G629" t="str">
        <f>"0.001"</f>
        <v>0.001</v>
      </c>
      <c r="H629" t="str">
        <f>""</f>
        <v/>
      </c>
      <c r="I629" t="str">
        <f t="shared" si="74"/>
        <v xml:space="preserve">                                                     </v>
      </c>
      <c r="J629" t="str">
        <f>""</f>
        <v/>
      </c>
    </row>
    <row r="630" spans="1:10">
      <c r="A630" s="1" t="str">
        <f>"3d6.4s.(4D).5p"</f>
        <v>3d6.4s.(4D).5p</v>
      </c>
      <c r="B630" t="str">
        <f>"5D*"</f>
        <v>5D*</v>
      </c>
      <c r="C630" t="str">
        <f>"4"</f>
        <v>4</v>
      </c>
      <c r="D630" t="str">
        <f>""</f>
        <v/>
      </c>
      <c r="E630" t="str">
        <f>"57763.824"</f>
        <v>57763.824</v>
      </c>
      <c r="F630" t="str">
        <f>""</f>
        <v/>
      </c>
      <c r="G630" t="str">
        <f>"0.002"</f>
        <v>0.002</v>
      </c>
      <c r="H630" t="str">
        <f>""</f>
        <v/>
      </c>
      <c r="I630" t="str">
        <f t="shared" si="74"/>
        <v xml:space="preserve">                                                     </v>
      </c>
      <c r="J630" t="str">
        <f>""</f>
        <v/>
      </c>
    </row>
    <row r="631" spans="1:10">
      <c r="A631" s="1" t="str">
        <f>"3d6.4s.(4D).5p"</f>
        <v>3d6.4s.(4D).5p</v>
      </c>
      <c r="B631" t="str">
        <f>"5D*"</f>
        <v>5D*</v>
      </c>
      <c r="C631" t="str">
        <f>"3"</f>
        <v>3</v>
      </c>
      <c r="D631" t="str">
        <f>""</f>
        <v/>
      </c>
      <c r="E631" t="str">
        <f>"58033.506"</f>
        <v>58033.506</v>
      </c>
      <c r="F631" t="str">
        <f>""</f>
        <v/>
      </c>
      <c r="G631" t="str">
        <f>"0.001"</f>
        <v>0.001</v>
      </c>
      <c r="H631" t="str">
        <f>""</f>
        <v/>
      </c>
      <c r="I631" t="str">
        <f t="shared" si="74"/>
        <v xml:space="preserve">                                                     </v>
      </c>
      <c r="J631" t="str">
        <f>""</f>
        <v/>
      </c>
    </row>
    <row r="632" spans="1:10">
      <c r="A632" s="1" t="str">
        <f>"3d6.4s.(4D).5p"</f>
        <v>3d6.4s.(4D).5p</v>
      </c>
      <c r="B632" t="str">
        <f>"5D*"</f>
        <v>5D*</v>
      </c>
      <c r="C632" t="str">
        <f>"2"</f>
        <v>2</v>
      </c>
      <c r="D632" t="str">
        <f>""</f>
        <v/>
      </c>
      <c r="E632" t="str">
        <f>"58330.568"</f>
        <v>58330.568</v>
      </c>
      <c r="F632" t="str">
        <f>""</f>
        <v/>
      </c>
      <c r="G632" t="str">
        <f>"0.002"</f>
        <v>0.002</v>
      </c>
      <c r="H632" t="str">
        <f>""</f>
        <v/>
      </c>
      <c r="I632" t="str">
        <f t="shared" si="74"/>
        <v xml:space="preserve">                                                     </v>
      </c>
      <c r="J632" t="str">
        <f>""</f>
        <v/>
      </c>
    </row>
    <row r="633" spans="1:10">
      <c r="A633" s="1" t="str">
        <f>"3d6.4s.(4D).5p"</f>
        <v>3d6.4s.(4D).5p</v>
      </c>
      <c r="B633" t="str">
        <f>"5D*"</f>
        <v>5D*</v>
      </c>
      <c r="C633" t="str">
        <f>"1"</f>
        <v>1</v>
      </c>
      <c r="D633" t="str">
        <f>""</f>
        <v/>
      </c>
      <c r="E633" t="str">
        <f>"58520.003"</f>
        <v>58520.003</v>
      </c>
      <c r="F633" t="str">
        <f>""</f>
        <v/>
      </c>
      <c r="G633" t="str">
        <f>"0.009"</f>
        <v>0.009</v>
      </c>
      <c r="H633" t="str">
        <f>""</f>
        <v/>
      </c>
      <c r="I633" t="str">
        <f t="shared" si="74"/>
        <v xml:space="preserve">                                                     </v>
      </c>
      <c r="J633" t="str">
        <f>""</f>
        <v/>
      </c>
    </row>
    <row r="634" spans="1:10">
      <c r="A634" s="1" t="str">
        <f>"3d6.(5D).4s (6D).7s"</f>
        <v>3d6.(5D).4s (6D).7s</v>
      </c>
      <c r="B634" t="str">
        <f>"7D"</f>
        <v>7D</v>
      </c>
      <c r="C634" t="str">
        <f>"5"</f>
        <v>5</v>
      </c>
      <c r="D634" t="str">
        <f>""</f>
        <v/>
      </c>
      <c r="E634" t="str">
        <f>"57897.051"</f>
        <v>57897.051</v>
      </c>
      <c r="F634" t="str">
        <f>""</f>
        <v/>
      </c>
      <c r="G634" t="str">
        <f>"0.005"</f>
        <v>0.005</v>
      </c>
      <c r="H634" t="str">
        <f>""</f>
        <v/>
      </c>
      <c r="I634" t="str">
        <f t="shared" si="74"/>
        <v xml:space="preserve">                                                     </v>
      </c>
      <c r="J634" t="str">
        <f>""</f>
        <v/>
      </c>
    </row>
    <row r="635" spans="1:10">
      <c r="A635" s="1" t="str">
        <f>"3d6.4s.(4D).5p"</f>
        <v>3d6.4s.(4D).5p</v>
      </c>
      <c r="B635" t="str">
        <f>"3F*"</f>
        <v>3F*</v>
      </c>
      <c r="C635" t="str">
        <f>"4"</f>
        <v>4</v>
      </c>
      <c r="D635" t="str">
        <f>""</f>
        <v/>
      </c>
      <c r="E635" t="str">
        <f>"57917.254"</f>
        <v>57917.254</v>
      </c>
      <c r="F635" t="str">
        <f>""</f>
        <v/>
      </c>
      <c r="G635" t="str">
        <f>"0.003"</f>
        <v>0.003</v>
      </c>
      <c r="H635" t="str">
        <f>""</f>
        <v/>
      </c>
      <c r="I635" t="str">
        <f t="shared" si="74"/>
        <v xml:space="preserve">                                                     </v>
      </c>
      <c r="J635" t="str">
        <f>""</f>
        <v/>
      </c>
    </row>
    <row r="636" spans="1:10">
      <c r="A636" s="1" t="str">
        <f>"3d6.4s.(4D).5p"</f>
        <v>3d6.4s.(4D).5p</v>
      </c>
      <c r="B636" t="str">
        <f>"3F*"</f>
        <v>3F*</v>
      </c>
      <c r="C636" t="str">
        <f>"2"</f>
        <v>2</v>
      </c>
      <c r="D636" t="str">
        <f>""</f>
        <v/>
      </c>
      <c r="E636" t="str">
        <f>"58961.996"</f>
        <v>58961.996</v>
      </c>
      <c r="F636" t="str">
        <f>""</f>
        <v/>
      </c>
      <c r="G636" t="str">
        <f>"0.002"</f>
        <v>0.002</v>
      </c>
      <c r="H636" t="str">
        <f>""</f>
        <v/>
      </c>
      <c r="I636" t="str">
        <f t="shared" si="74"/>
        <v xml:space="preserve">                                                     </v>
      </c>
      <c r="J636" t="str">
        <f>""</f>
        <v/>
      </c>
    </row>
    <row r="637" spans="1:10">
      <c r="A637" s="1" t="str">
        <f>"3d6.4s.(4D).5p"</f>
        <v>3d6.4s.(4D).5p</v>
      </c>
      <c r="B637" t="str">
        <f>"3F*"</f>
        <v>3F*</v>
      </c>
      <c r="C637" t="str">
        <f>"3"</f>
        <v>3</v>
      </c>
      <c r="D637" t="str">
        <f>""</f>
        <v/>
      </c>
      <c r="E637" t="str">
        <f>"59089.628"</f>
        <v>59089.628</v>
      </c>
      <c r="F637" t="str">
        <f>""</f>
        <v/>
      </c>
      <c r="G637" t="str">
        <f>"0.003"</f>
        <v>0.003</v>
      </c>
      <c r="H637" t="str">
        <f>""</f>
        <v/>
      </c>
      <c r="I637" t="str">
        <f t="shared" si="74"/>
        <v xml:space="preserve">                                                     </v>
      </c>
      <c r="J637" t="str">
        <f>""</f>
        <v/>
      </c>
    </row>
    <row r="638" spans="1:10">
      <c r="A638" s="1" t="str">
        <f>"3d6.4s.(4D).5p"</f>
        <v>3d6.4s.(4D).5p</v>
      </c>
      <c r="B638" t="str">
        <f>"3P*"</f>
        <v>3P*</v>
      </c>
      <c r="C638" t="str">
        <f>"2"</f>
        <v>2</v>
      </c>
      <c r="D638" t="str">
        <f>""</f>
        <v/>
      </c>
      <c r="E638" t="str">
        <f>"57999.461"</f>
        <v>57999.461</v>
      </c>
      <c r="F638" t="str">
        <f>""</f>
        <v/>
      </c>
      <c r="G638" t="str">
        <f>"0.009"</f>
        <v>0.009</v>
      </c>
      <c r="H638" t="str">
        <f>""</f>
        <v/>
      </c>
      <c r="I638" t="str">
        <f t="shared" si="74"/>
        <v xml:space="preserve">                                                     </v>
      </c>
      <c r="J638" t="str">
        <f>""</f>
        <v/>
      </c>
    </row>
    <row r="639" spans="1:10">
      <c r="A639" s="1" t="str">
        <f>"3d6.4s.(4D).5p"</f>
        <v>3d6.4s.(4D).5p</v>
      </c>
      <c r="B639" t="str">
        <f>"3P*"</f>
        <v>3P*</v>
      </c>
      <c r="C639" t="str">
        <f>"1"</f>
        <v>1</v>
      </c>
      <c r="D639" t="str">
        <f>""</f>
        <v/>
      </c>
      <c r="E639" t="str">
        <f>"59343.807"</f>
        <v>59343.807</v>
      </c>
      <c r="F639" t="str">
        <f>""</f>
        <v/>
      </c>
      <c r="G639" t="str">
        <f>"0.002"</f>
        <v>0.002</v>
      </c>
      <c r="H639" t="str">
        <f>""</f>
        <v/>
      </c>
      <c r="I639" t="str">
        <f t="shared" si="74"/>
        <v xml:space="preserve">                                                     </v>
      </c>
      <c r="J639" t="str">
        <f>""</f>
        <v/>
      </c>
    </row>
    <row r="640" spans="1:10">
      <c r="A640" s="1" t="str">
        <f>"3d6.(5D).4s (4D).4d"</f>
        <v>3d6.(5D).4s (4D).4d</v>
      </c>
      <c r="B640" t="str">
        <f>"g 5G"</f>
        <v>g 5G</v>
      </c>
      <c r="C640" t="str">
        <f>"6"</f>
        <v>6</v>
      </c>
      <c r="D640" t="str">
        <f>""</f>
        <v/>
      </c>
      <c r="E640" t="str">
        <f>"58001.938"</f>
        <v>58001.938</v>
      </c>
      <c r="F640" t="str">
        <f>""</f>
        <v/>
      </c>
      <c r="G640" t="str">
        <f>"0.002"</f>
        <v>0.002</v>
      </c>
      <c r="H640" t="str">
        <f>"1.40?"</f>
        <v>1.40?</v>
      </c>
      <c r="I640" t="str">
        <f t="shared" si="74"/>
        <v xml:space="preserve">                                                     </v>
      </c>
      <c r="J640" t="str">
        <f>""</f>
        <v/>
      </c>
    </row>
    <row r="641" spans="1:10">
      <c r="A641" s="1" t="str">
        <f>"3d6.(5D).4s (4D).4d"</f>
        <v>3d6.(5D).4s (4D).4d</v>
      </c>
      <c r="B641" t="str">
        <f>"g 5G"</f>
        <v>g 5G</v>
      </c>
      <c r="C641" t="str">
        <f>"5"</f>
        <v>5</v>
      </c>
      <c r="D641" t="str">
        <f>""</f>
        <v/>
      </c>
      <c r="E641" t="str">
        <f>"58271.462"</f>
        <v>58271.462</v>
      </c>
      <c r="F641" t="str">
        <f>""</f>
        <v/>
      </c>
      <c r="G641" t="str">
        <f>"0.003"</f>
        <v>0.003</v>
      </c>
      <c r="H641" t="str">
        <f>""</f>
        <v/>
      </c>
      <c r="I641" t="str">
        <f t="shared" ref="I641:I672" si="75">"                                                     "</f>
        <v xml:space="preserve">                                                     </v>
      </c>
      <c r="J641" t="str">
        <f>""</f>
        <v/>
      </c>
    </row>
    <row r="642" spans="1:10">
      <c r="A642" s="1" t="str">
        <f>"3d6.(5D).4s (4D).4d"</f>
        <v>3d6.(5D).4s (4D).4d</v>
      </c>
      <c r="B642" t="str">
        <f>"g 5G"</f>
        <v>g 5G</v>
      </c>
      <c r="C642" t="str">
        <f>"4"</f>
        <v>4</v>
      </c>
      <c r="D642" t="str">
        <f>""</f>
        <v/>
      </c>
      <c r="E642" t="str">
        <f>"58520.163"</f>
        <v>58520.163</v>
      </c>
      <c r="F642" t="str">
        <f>""</f>
        <v/>
      </c>
      <c r="G642" t="str">
        <f>"0.002"</f>
        <v>0.002</v>
      </c>
      <c r="H642" t="str">
        <f>""</f>
        <v/>
      </c>
      <c r="I642" t="str">
        <f t="shared" si="75"/>
        <v xml:space="preserve">                                                     </v>
      </c>
      <c r="J642" t="str">
        <f>""</f>
        <v/>
      </c>
    </row>
    <row r="643" spans="1:10">
      <c r="A643" s="1" t="str">
        <f>"3d6.(5D).4s (4D).4d"</f>
        <v>3d6.(5D).4s (4D).4d</v>
      </c>
      <c r="B643" t="str">
        <f>"g 5G"</f>
        <v>g 5G</v>
      </c>
      <c r="C643" t="str">
        <f>"3"</f>
        <v>3</v>
      </c>
      <c r="D643" t="str">
        <f>""</f>
        <v/>
      </c>
      <c r="E643" t="str">
        <f>"58710.047"</f>
        <v>58710.047</v>
      </c>
      <c r="F643" t="str">
        <f>""</f>
        <v/>
      </c>
      <c r="G643" t="str">
        <f>"0.003"</f>
        <v>0.003</v>
      </c>
      <c r="H643" t="str">
        <f>""</f>
        <v/>
      </c>
      <c r="I643" t="str">
        <f t="shared" si="75"/>
        <v xml:space="preserve">                                                     </v>
      </c>
      <c r="J643" t="str">
        <f>""</f>
        <v/>
      </c>
    </row>
    <row r="644" spans="1:10">
      <c r="A644" s="1" t="str">
        <f>"3d6.(5D).4s (4D).4d"</f>
        <v>3d6.(5D).4s (4D).4d</v>
      </c>
      <c r="B644" t="str">
        <f>"g 5G"</f>
        <v>g 5G</v>
      </c>
      <c r="C644" t="str">
        <f>"2"</f>
        <v>2</v>
      </c>
      <c r="D644" t="str">
        <f>""</f>
        <v/>
      </c>
      <c r="E644" t="str">
        <f>"58824.845"</f>
        <v>58824.845</v>
      </c>
      <c r="F644" t="str">
        <f>""</f>
        <v/>
      </c>
      <c r="G644" t="str">
        <f>"0.003"</f>
        <v>0.003</v>
      </c>
      <c r="H644" t="str">
        <f>"0.343"</f>
        <v>0.343</v>
      </c>
      <c r="I644" t="str">
        <f t="shared" si="75"/>
        <v xml:space="preserve">                                                     </v>
      </c>
      <c r="J644" t="str">
        <f>""</f>
        <v/>
      </c>
    </row>
    <row r="645" spans="1:10">
      <c r="A645" s="1" t="str">
        <f>"3d6.(3H).4s.4p.(1P*)"</f>
        <v>3d6.(3H).4s.4p.(1P*)</v>
      </c>
      <c r="B645" t="str">
        <f>"3G*"</f>
        <v>3G*</v>
      </c>
      <c r="C645" t="str">
        <f>"5"</f>
        <v>5</v>
      </c>
      <c r="D645" t="str">
        <f>""</f>
        <v/>
      </c>
      <c r="E645" t="str">
        <f>"58018.561"</f>
        <v>58018.561</v>
      </c>
      <c r="F645" t="str">
        <f>""</f>
        <v/>
      </c>
      <c r="G645" t="str">
        <f>"0.003"</f>
        <v>0.003</v>
      </c>
      <c r="H645" t="str">
        <f>""</f>
        <v/>
      </c>
      <c r="I645" t="str">
        <f t="shared" si="75"/>
        <v xml:space="preserve">                                                     </v>
      </c>
      <c r="J645" t="str">
        <f>""</f>
        <v/>
      </c>
    </row>
    <row r="646" spans="1:10">
      <c r="A646" s="1" t="str">
        <f>"3d6.(3H).4s.4p.(1P*)"</f>
        <v>3d6.(3H).4s.4p.(1P*)</v>
      </c>
      <c r="B646" t="str">
        <f>"3G*"</f>
        <v>3G*</v>
      </c>
      <c r="C646" t="str">
        <f>"4"</f>
        <v>4</v>
      </c>
      <c r="D646" t="str">
        <f>""</f>
        <v/>
      </c>
      <c r="E646" t="str">
        <f>"58334.613"</f>
        <v>58334.613</v>
      </c>
      <c r="F646" t="str">
        <f>""</f>
        <v/>
      </c>
      <c r="G646" t="str">
        <f>"0.003"</f>
        <v>0.003</v>
      </c>
      <c r="H646" t="str">
        <f>""</f>
        <v/>
      </c>
      <c r="I646" t="str">
        <f t="shared" si="75"/>
        <v xml:space="preserve">                                                     </v>
      </c>
      <c r="J646" t="str">
        <f>""</f>
        <v/>
      </c>
    </row>
    <row r="647" spans="1:10">
      <c r="A647" s="1" t="str">
        <f>"3d6.(3H).4s.4p.(1P*)"</f>
        <v>3d6.(3H).4s.4p.(1P*)</v>
      </c>
      <c r="B647" t="str">
        <f>"3G*"</f>
        <v>3G*</v>
      </c>
      <c r="C647" t="str">
        <f>"3"</f>
        <v>3</v>
      </c>
      <c r="D647" t="str">
        <f>""</f>
        <v/>
      </c>
      <c r="E647" t="str">
        <f>"58600.344"</f>
        <v>58600.344</v>
      </c>
      <c r="F647" t="str">
        <f>""</f>
        <v/>
      </c>
      <c r="G647" t="str">
        <f>"0.003"</f>
        <v>0.003</v>
      </c>
      <c r="H647" t="str">
        <f>""</f>
        <v/>
      </c>
      <c r="I647" t="str">
        <f t="shared" si="75"/>
        <v xml:space="preserve">                                                     </v>
      </c>
      <c r="J647" t="str">
        <f>""</f>
        <v/>
      </c>
    </row>
    <row r="648" spans="1:10">
      <c r="A648" s="1" t="str">
        <f t="shared" ref="A648:A655" si="76">"3d6.4s.(4D).5p"</f>
        <v>3d6.4s.(4D).5p</v>
      </c>
      <c r="B648" t="str">
        <f>"3D*"</f>
        <v>3D*</v>
      </c>
      <c r="C648" t="str">
        <f>"2"</f>
        <v>2</v>
      </c>
      <c r="D648" t="str">
        <f>""</f>
        <v/>
      </c>
      <c r="E648" t="str">
        <f>"58132.249"</f>
        <v>58132.249</v>
      </c>
      <c r="F648" t="str">
        <f>""</f>
        <v/>
      </c>
      <c r="G648" t="str">
        <f>"0.002"</f>
        <v>0.002</v>
      </c>
      <c r="H648" t="str">
        <f>""</f>
        <v/>
      </c>
      <c r="I648" t="str">
        <f t="shared" si="75"/>
        <v xml:space="preserve">                                                     </v>
      </c>
      <c r="J648" t="str">
        <f>""</f>
        <v/>
      </c>
    </row>
    <row r="649" spans="1:10">
      <c r="A649" s="1" t="str">
        <f t="shared" si="76"/>
        <v>3d6.4s.(4D).5p</v>
      </c>
      <c r="B649" t="str">
        <f>"3D*"</f>
        <v>3D*</v>
      </c>
      <c r="C649" t="str">
        <f>"3"</f>
        <v>3</v>
      </c>
      <c r="D649" t="str">
        <f>""</f>
        <v/>
      </c>
      <c r="E649" t="str">
        <f>"58276.260"</f>
        <v>58276.260</v>
      </c>
      <c r="F649" t="str">
        <f>""</f>
        <v/>
      </c>
      <c r="G649" t="str">
        <f>"0.003"</f>
        <v>0.003</v>
      </c>
      <c r="H649" t="str">
        <f>""</f>
        <v/>
      </c>
      <c r="I649" t="str">
        <f t="shared" si="75"/>
        <v xml:space="preserve">                                                     </v>
      </c>
      <c r="J649" t="str">
        <f>""</f>
        <v/>
      </c>
    </row>
    <row r="650" spans="1:10">
      <c r="A650" s="1" t="str">
        <f t="shared" si="76"/>
        <v>3d6.4s.(4D).5p</v>
      </c>
      <c r="B650" t="str">
        <f>"3D*"</f>
        <v>3D*</v>
      </c>
      <c r="C650" t="str">
        <f>"1"</f>
        <v>1</v>
      </c>
      <c r="D650" t="str">
        <f>""</f>
        <v/>
      </c>
      <c r="E650" t="str">
        <f>"58394.864"</f>
        <v>58394.864</v>
      </c>
      <c r="F650" t="str">
        <f>""</f>
        <v/>
      </c>
      <c r="G650" t="str">
        <f t="shared" ref="G650:G655" si="77">"0.002"</f>
        <v>0.002</v>
      </c>
      <c r="H650" t="str">
        <f>""</f>
        <v/>
      </c>
      <c r="I650" t="str">
        <f t="shared" si="75"/>
        <v xml:space="preserve">                                                     </v>
      </c>
      <c r="J650" t="str">
        <f>""</f>
        <v/>
      </c>
    </row>
    <row r="651" spans="1:10">
      <c r="A651" s="1" t="str">
        <f t="shared" si="76"/>
        <v>3d6.4s.(4D).5p</v>
      </c>
      <c r="B651" t="str">
        <f>"5F*"</f>
        <v>5F*</v>
      </c>
      <c r="C651" t="str">
        <f>"5"</f>
        <v>5</v>
      </c>
      <c r="D651" t="str">
        <f>""</f>
        <v/>
      </c>
      <c r="E651" t="str">
        <f>"58147.007"</f>
        <v>58147.007</v>
      </c>
      <c r="F651" t="str">
        <f>""</f>
        <v/>
      </c>
      <c r="G651" t="str">
        <f t="shared" si="77"/>
        <v>0.002</v>
      </c>
      <c r="H651" t="str">
        <f>""</f>
        <v/>
      </c>
      <c r="I651" t="str">
        <f t="shared" si="75"/>
        <v xml:space="preserve">                                                     </v>
      </c>
      <c r="J651" t="str">
        <f>""</f>
        <v/>
      </c>
    </row>
    <row r="652" spans="1:10">
      <c r="A652" s="1" t="str">
        <f t="shared" si="76"/>
        <v>3d6.4s.(4D).5p</v>
      </c>
      <c r="B652" t="str">
        <f>"5F*"</f>
        <v>5F*</v>
      </c>
      <c r="C652" t="str">
        <f>"4"</f>
        <v>4</v>
      </c>
      <c r="D652" t="str">
        <f>""</f>
        <v/>
      </c>
      <c r="E652" t="str">
        <f>"58481.301"</f>
        <v>58481.301</v>
      </c>
      <c r="F652" t="str">
        <f>""</f>
        <v/>
      </c>
      <c r="G652" t="str">
        <f t="shared" si="77"/>
        <v>0.002</v>
      </c>
      <c r="H652" t="str">
        <f>""</f>
        <v/>
      </c>
      <c r="I652" t="str">
        <f t="shared" si="75"/>
        <v xml:space="preserve">                                                     </v>
      </c>
      <c r="J652" t="str">
        <f>""</f>
        <v/>
      </c>
    </row>
    <row r="653" spans="1:10">
      <c r="A653" s="1" t="str">
        <f t="shared" si="76"/>
        <v>3d6.4s.(4D).5p</v>
      </c>
      <c r="B653" t="str">
        <f>"5F*"</f>
        <v>5F*</v>
      </c>
      <c r="C653" t="str">
        <f>"3"</f>
        <v>3</v>
      </c>
      <c r="D653" t="str">
        <f>""</f>
        <v/>
      </c>
      <c r="E653" t="str">
        <f>"58757.628"</f>
        <v>58757.628</v>
      </c>
      <c r="F653" t="str">
        <f>""</f>
        <v/>
      </c>
      <c r="G653" t="str">
        <f t="shared" si="77"/>
        <v>0.002</v>
      </c>
      <c r="H653" t="str">
        <f>""</f>
        <v/>
      </c>
      <c r="I653" t="str">
        <f t="shared" si="75"/>
        <v xml:space="preserve">                                                     </v>
      </c>
      <c r="J653" t="str">
        <f>""</f>
        <v/>
      </c>
    </row>
    <row r="654" spans="1:10">
      <c r="A654" s="1" t="str">
        <f t="shared" si="76"/>
        <v>3d6.4s.(4D).5p</v>
      </c>
      <c r="B654" t="str">
        <f>"5F*"</f>
        <v>5F*</v>
      </c>
      <c r="C654" t="str">
        <f>"2"</f>
        <v>2</v>
      </c>
      <c r="D654" t="str">
        <f>""</f>
        <v/>
      </c>
      <c r="E654" t="str">
        <f>"58906.116"</f>
        <v>58906.116</v>
      </c>
      <c r="F654" t="str">
        <f>""</f>
        <v/>
      </c>
      <c r="G654" t="str">
        <f t="shared" si="77"/>
        <v>0.002</v>
      </c>
      <c r="H654" t="str">
        <f>""</f>
        <v/>
      </c>
      <c r="I654" t="str">
        <f t="shared" si="75"/>
        <v xml:space="preserve">                                                     </v>
      </c>
      <c r="J654" t="str">
        <f>""</f>
        <v/>
      </c>
    </row>
    <row r="655" spans="1:10">
      <c r="A655" s="1" t="str">
        <f t="shared" si="76"/>
        <v>3d6.4s.(4D).5p</v>
      </c>
      <c r="B655" t="str">
        <f>"5F*"</f>
        <v>5F*</v>
      </c>
      <c r="C655" t="str">
        <f>"1"</f>
        <v>1</v>
      </c>
      <c r="D655" t="str">
        <f>""</f>
        <v/>
      </c>
      <c r="E655" t="str">
        <f>"58977.502"</f>
        <v>58977.502</v>
      </c>
      <c r="F655" t="str">
        <f>""</f>
        <v/>
      </c>
      <c r="G655" t="str">
        <f t="shared" si="77"/>
        <v>0.002</v>
      </c>
      <c r="H655" t="str">
        <f>""</f>
        <v/>
      </c>
      <c r="I655" t="str">
        <f t="shared" si="75"/>
        <v xml:space="preserve">                                                     </v>
      </c>
      <c r="J655" t="str">
        <f>""</f>
        <v/>
      </c>
    </row>
    <row r="656" spans="1:10">
      <c r="A656" s="1" t="str">
        <f>"3d6.4s.(6D).7s"</f>
        <v>3d6.4s.(6D).7s</v>
      </c>
      <c r="B656" t="str">
        <f>"7D"</f>
        <v>7D</v>
      </c>
      <c r="C656" t="str">
        <f>"4"</f>
        <v>4</v>
      </c>
      <c r="D656" t="str">
        <f>""</f>
        <v/>
      </c>
      <c r="E656" t="str">
        <f>"58197.914"</f>
        <v>58197.914</v>
      </c>
      <c r="F656" t="str">
        <f>""</f>
        <v/>
      </c>
      <c r="G656" t="str">
        <f>"0.003"</f>
        <v>0.003</v>
      </c>
      <c r="H656" t="str">
        <f>""</f>
        <v/>
      </c>
      <c r="I656" t="str">
        <f t="shared" si="75"/>
        <v xml:space="preserve">                                                     </v>
      </c>
      <c r="J656" t="str">
        <f>""</f>
        <v/>
      </c>
    </row>
    <row r="657" spans="1:10">
      <c r="A657" s="1" t="str">
        <f>"3d6.4s.(6D).7s"</f>
        <v>3d6.4s.(6D).7s</v>
      </c>
      <c r="B657" t="str">
        <f>"7D"</f>
        <v>7D</v>
      </c>
      <c r="C657" t="str">
        <f>"3"</f>
        <v>3</v>
      </c>
      <c r="D657" t="str">
        <f>""</f>
        <v/>
      </c>
      <c r="E657" t="str">
        <f>"58480.308"</f>
        <v>58480.308</v>
      </c>
      <c r="F657" t="str">
        <f>""</f>
        <v/>
      </c>
      <c r="G657" t="str">
        <f>"0.003"</f>
        <v>0.003</v>
      </c>
      <c r="H657" t="str">
        <f>""</f>
        <v/>
      </c>
      <c r="I657" t="str">
        <f t="shared" si="75"/>
        <v xml:space="preserve">                                                     </v>
      </c>
      <c r="J657" t="str">
        <f>""</f>
        <v/>
      </c>
    </row>
    <row r="658" spans="1:10">
      <c r="A658" s="1" t="str">
        <f>"3d6.4s.(6D).7s"</f>
        <v>3d6.4s.(6D).7s</v>
      </c>
      <c r="B658" t="str">
        <f>"7D"</f>
        <v>7D</v>
      </c>
      <c r="C658" t="str">
        <f>"2"</f>
        <v>2</v>
      </c>
      <c r="D658" t="str">
        <f>""</f>
        <v/>
      </c>
      <c r="E658" t="str">
        <f>"58683.804"</f>
        <v>58683.804</v>
      </c>
      <c r="F658" t="str">
        <f>""</f>
        <v/>
      </c>
      <c r="G658" t="str">
        <f>"0.003"</f>
        <v>0.003</v>
      </c>
      <c r="H658" t="str">
        <f>""</f>
        <v/>
      </c>
      <c r="I658" t="str">
        <f t="shared" si="75"/>
        <v xml:space="preserve">                                                     </v>
      </c>
      <c r="J658" t="str">
        <f>""</f>
        <v/>
      </c>
    </row>
    <row r="659" spans="1:10">
      <c r="A659" s="1" t="str">
        <f>"3d6.4s.(6D).7s"</f>
        <v>3d6.4s.(6D).7s</v>
      </c>
      <c r="B659" t="str">
        <f>"7D"</f>
        <v>7D</v>
      </c>
      <c r="C659" t="str">
        <f>"1"</f>
        <v>1</v>
      </c>
      <c r="D659" t="str">
        <f>""</f>
        <v/>
      </c>
      <c r="E659" t="str">
        <f>"58759.579"</f>
        <v>58759.579</v>
      </c>
      <c r="F659" t="str">
        <f>""</f>
        <v/>
      </c>
      <c r="G659" t="str">
        <f>"0.003"</f>
        <v>0.003</v>
      </c>
      <c r="H659" t="str">
        <f>""</f>
        <v/>
      </c>
      <c r="I659" t="str">
        <f t="shared" si="75"/>
        <v xml:space="preserve">                                                     </v>
      </c>
      <c r="J659" t="str">
        <f>""</f>
        <v/>
      </c>
    </row>
    <row r="660" spans="1:10">
      <c r="A660" s="1" t="str">
        <f>"3d6.4s.(4D).4d"</f>
        <v>3d6.4s.(4D).4d</v>
      </c>
      <c r="B660" t="str">
        <f>"5P"</f>
        <v>5P</v>
      </c>
      <c r="C660" t="str">
        <f>"2"</f>
        <v>2</v>
      </c>
      <c r="D660" t="str">
        <f>""</f>
        <v/>
      </c>
      <c r="E660" t="str">
        <f>"58213.124"</f>
        <v>58213.124</v>
      </c>
      <c r="F660" t="str">
        <f>""</f>
        <v/>
      </c>
      <c r="G660" t="str">
        <f>"0.002"</f>
        <v>0.002</v>
      </c>
      <c r="H660" t="str">
        <f>""</f>
        <v/>
      </c>
      <c r="I660" t="str">
        <f t="shared" si="75"/>
        <v xml:space="preserve">                                                     </v>
      </c>
      <c r="J660" t="str">
        <f>""</f>
        <v/>
      </c>
    </row>
    <row r="661" spans="1:10">
      <c r="A661" s="1" t="str">
        <f>"3d6.4s.(4D).4d"</f>
        <v>3d6.4s.(4D).4d</v>
      </c>
      <c r="B661" t="str">
        <f>"5P"</f>
        <v>5P</v>
      </c>
      <c r="C661" t="str">
        <f>"3"</f>
        <v>3</v>
      </c>
      <c r="D661" t="str">
        <f>""</f>
        <v/>
      </c>
      <c r="E661" t="str">
        <f>"58481.855"</f>
        <v>58481.855</v>
      </c>
      <c r="F661" t="str">
        <f>""</f>
        <v/>
      </c>
      <c r="G661" t="str">
        <f>"0.003"</f>
        <v>0.003</v>
      </c>
      <c r="H661" t="str">
        <f>""</f>
        <v/>
      </c>
      <c r="I661" t="str">
        <f t="shared" si="75"/>
        <v xml:space="preserve">                                                     </v>
      </c>
      <c r="J661" t="str">
        <f>""</f>
        <v/>
      </c>
    </row>
    <row r="662" spans="1:10">
      <c r="A662" s="1" t="str">
        <f>"3d6.4s.(6D).7s"</f>
        <v>3d6.4s.(6D).7s</v>
      </c>
      <c r="B662" t="str">
        <f>"5D"</f>
        <v>5D</v>
      </c>
      <c r="C662" t="str">
        <f>"4"</f>
        <v>4</v>
      </c>
      <c r="D662" t="str">
        <f>""</f>
        <v/>
      </c>
      <c r="E662" t="str">
        <f>"58321.383"</f>
        <v>58321.383</v>
      </c>
      <c r="F662" t="str">
        <f>""</f>
        <v/>
      </c>
      <c r="G662" t="str">
        <f>"0.003"</f>
        <v>0.003</v>
      </c>
      <c r="H662" t="str">
        <f>""</f>
        <v/>
      </c>
      <c r="I662" t="str">
        <f t="shared" si="75"/>
        <v xml:space="preserve">                                                     </v>
      </c>
      <c r="J662" t="str">
        <f>""</f>
        <v/>
      </c>
    </row>
    <row r="663" spans="1:10">
      <c r="A663" s="1" t="str">
        <f>"3d6.4s.(6D).7s"</f>
        <v>3d6.4s.(6D).7s</v>
      </c>
      <c r="B663" t="str">
        <f>"5D"</f>
        <v>5D</v>
      </c>
      <c r="C663" t="str">
        <f>"3"</f>
        <v>3</v>
      </c>
      <c r="D663" t="str">
        <f>""</f>
        <v/>
      </c>
      <c r="E663" t="str">
        <f>"58762.456"</f>
        <v>58762.456</v>
      </c>
      <c r="F663" t="str">
        <f>""</f>
        <v/>
      </c>
      <c r="G663" t="str">
        <f>"0.002"</f>
        <v>0.002</v>
      </c>
      <c r="H663" t="str">
        <f>""</f>
        <v/>
      </c>
      <c r="I663" t="str">
        <f t="shared" si="75"/>
        <v xml:space="preserve">                                                     </v>
      </c>
      <c r="J663" t="str">
        <f>""</f>
        <v/>
      </c>
    </row>
    <row r="664" spans="1:10">
      <c r="A664" s="1" t="str">
        <f>"3d6.4s.(6D).7s"</f>
        <v>3d6.4s.(6D).7s</v>
      </c>
      <c r="B664" t="str">
        <f>"5D"</f>
        <v>5D</v>
      </c>
      <c r="C664" t="str">
        <f>"2"</f>
        <v>2</v>
      </c>
      <c r="D664" t="str">
        <f>""</f>
        <v/>
      </c>
      <c r="E664" t="str">
        <f>"59035.762"</f>
        <v>59035.762</v>
      </c>
      <c r="F664" t="str">
        <f>""</f>
        <v/>
      </c>
      <c r="G664" t="str">
        <f>"0.004"</f>
        <v>0.004</v>
      </c>
      <c r="H664" t="str">
        <f>""</f>
        <v/>
      </c>
      <c r="I664" t="str">
        <f t="shared" si="75"/>
        <v xml:space="preserve">                                                     </v>
      </c>
      <c r="J664" t="str">
        <f>""</f>
        <v/>
      </c>
    </row>
    <row r="665" spans="1:10">
      <c r="A665" s="1" t="str">
        <f>"3d6.4s.(6D).7s"</f>
        <v>3d6.4s.(6D).7s</v>
      </c>
      <c r="B665" t="str">
        <f>"5D"</f>
        <v>5D</v>
      </c>
      <c r="C665" t="str">
        <f>"1"</f>
        <v>1</v>
      </c>
      <c r="D665" t="str">
        <f>""</f>
        <v/>
      </c>
      <c r="E665" t="str">
        <f>"59113.339"</f>
        <v>59113.339</v>
      </c>
      <c r="F665" t="str">
        <f>""</f>
        <v/>
      </c>
      <c r="G665" t="str">
        <f>"0.004"</f>
        <v>0.004</v>
      </c>
      <c r="H665" t="str">
        <f>""</f>
        <v/>
      </c>
      <c r="I665" t="str">
        <f t="shared" si="75"/>
        <v xml:space="preserve">                                                     </v>
      </c>
      <c r="J665" t="str">
        <f>""</f>
        <v/>
      </c>
    </row>
    <row r="666" spans="1:10">
      <c r="A666" s="1" t="str">
        <f>"3d6.4s.(4D).4d"</f>
        <v>3d6.4s.(4D).4d</v>
      </c>
      <c r="B666" t="str">
        <f>"3G"</f>
        <v>3G</v>
      </c>
      <c r="C666" t="str">
        <f>"5"</f>
        <v>5</v>
      </c>
      <c r="D666" t="str">
        <f>""</f>
        <v/>
      </c>
      <c r="E666" t="str">
        <f>"58492.235"</f>
        <v>58492.235</v>
      </c>
      <c r="F666" t="str">
        <f>""</f>
        <v/>
      </c>
      <c r="G666" t="str">
        <f>"0.003"</f>
        <v>0.003</v>
      </c>
      <c r="H666" t="str">
        <f>""</f>
        <v/>
      </c>
      <c r="I666" t="str">
        <f t="shared" si="75"/>
        <v xml:space="preserve">                                                     </v>
      </c>
      <c r="J666" t="str">
        <f>""</f>
        <v/>
      </c>
    </row>
    <row r="667" spans="1:10">
      <c r="A667" s="1" t="str">
        <f>"3d6.4s.(4D).4d"</f>
        <v>3d6.4s.(4D).4d</v>
      </c>
      <c r="B667" t="str">
        <f>"3G"</f>
        <v>3G</v>
      </c>
      <c r="C667" t="str">
        <f>"4"</f>
        <v>4</v>
      </c>
      <c r="D667" t="str">
        <f>""</f>
        <v/>
      </c>
      <c r="E667" t="str">
        <f>"58965.275"</f>
        <v>58965.275</v>
      </c>
      <c r="F667" t="str">
        <f>""</f>
        <v/>
      </c>
      <c r="G667" t="str">
        <f>"0.003"</f>
        <v>0.003</v>
      </c>
      <c r="H667" t="str">
        <f>""</f>
        <v/>
      </c>
      <c r="I667" t="str">
        <f t="shared" si="75"/>
        <v xml:space="preserve">                                                     </v>
      </c>
      <c r="J667" t="str">
        <f>""</f>
        <v/>
      </c>
    </row>
    <row r="668" spans="1:10">
      <c r="A668" s="1" t="str">
        <f>"3d7.(4F).5d"</f>
        <v>3d7.(4F).5d</v>
      </c>
      <c r="B668" t="str">
        <f>"5F"</f>
        <v>5F</v>
      </c>
      <c r="C668" t="str">
        <f>"5"</f>
        <v>5</v>
      </c>
      <c r="D668" t="str">
        <f>""</f>
        <v/>
      </c>
      <c r="E668" t="str">
        <f>"58591.206"</f>
        <v>58591.206</v>
      </c>
      <c r="F668" t="str">
        <f>""</f>
        <v/>
      </c>
      <c r="G668" t="str">
        <f>"0.002"</f>
        <v>0.002</v>
      </c>
      <c r="H668" t="str">
        <f>""</f>
        <v/>
      </c>
      <c r="I668" t="str">
        <f t="shared" si="75"/>
        <v xml:space="preserve">                                                     </v>
      </c>
      <c r="J668" t="str">
        <f>""</f>
        <v/>
      </c>
    </row>
    <row r="669" spans="1:10">
      <c r="A669" s="1" t="str">
        <f>"3d7.(4F).5d"</f>
        <v>3d7.(4F).5d</v>
      </c>
      <c r="B669" t="str">
        <f>"5F"</f>
        <v>5F</v>
      </c>
      <c r="C669" t="str">
        <f>"4"</f>
        <v>4</v>
      </c>
      <c r="D669" t="str">
        <f>""</f>
        <v/>
      </c>
      <c r="E669" t="str">
        <f>"58592.074"</f>
        <v>58592.074</v>
      </c>
      <c r="F669" t="str">
        <f>""</f>
        <v/>
      </c>
      <c r="G669" t="str">
        <f>"0.002"</f>
        <v>0.002</v>
      </c>
      <c r="H669" t="str">
        <f>""</f>
        <v/>
      </c>
      <c r="I669" t="str">
        <f t="shared" si="75"/>
        <v xml:space="preserve">                                                     </v>
      </c>
      <c r="J669" t="str">
        <f>""</f>
        <v/>
      </c>
    </row>
    <row r="670" spans="1:10">
      <c r="A670" s="1" t="str">
        <f>""</f>
        <v/>
      </c>
      <c r="B670" t="str">
        <f>"58661e"</f>
        <v>58661e</v>
      </c>
      <c r="C670" t="str">
        <f>"4"</f>
        <v>4</v>
      </c>
      <c r="D670" t="str">
        <f>""</f>
        <v/>
      </c>
      <c r="E670" t="str">
        <f>"58661.978"</f>
        <v>58661.978</v>
      </c>
      <c r="F670" t="str">
        <f>""</f>
        <v/>
      </c>
      <c r="G670" t="str">
        <f>"0.003"</f>
        <v>0.003</v>
      </c>
      <c r="H670" t="str">
        <f>""</f>
        <v/>
      </c>
      <c r="I670" t="str">
        <f t="shared" si="75"/>
        <v xml:space="preserve">                                                     </v>
      </c>
      <c r="J670" t="str">
        <f>""</f>
        <v/>
      </c>
    </row>
    <row r="671" spans="1:10">
      <c r="A671" s="1" t="str">
        <f>"3d6.4s.(4D).5p"</f>
        <v>3d6.4s.(4D).5p</v>
      </c>
      <c r="B671" t="str">
        <f>"5P*"</f>
        <v>5P*</v>
      </c>
      <c r="C671" t="str">
        <f>"3"</f>
        <v>3</v>
      </c>
      <c r="D671" t="str">
        <f>""</f>
        <v/>
      </c>
      <c r="E671" t="str">
        <f>"58674.459"</f>
        <v>58674.459</v>
      </c>
      <c r="F671" t="str">
        <f>""</f>
        <v/>
      </c>
      <c r="G671" t="str">
        <f>"0.002"</f>
        <v>0.002</v>
      </c>
      <c r="H671" t="str">
        <f>""</f>
        <v/>
      </c>
      <c r="I671" t="str">
        <f t="shared" si="75"/>
        <v xml:space="preserve">                                                     </v>
      </c>
      <c r="J671" t="str">
        <f>""</f>
        <v/>
      </c>
    </row>
    <row r="672" spans="1:10">
      <c r="A672" s="1" t="str">
        <f>"3d6.4s.(4D).5p"</f>
        <v>3d6.4s.(4D).5p</v>
      </c>
      <c r="B672" t="str">
        <f>"5P*"</f>
        <v>5P*</v>
      </c>
      <c r="C672" t="str">
        <f>"2"</f>
        <v>2</v>
      </c>
      <c r="D672" t="str">
        <f>""</f>
        <v/>
      </c>
      <c r="E672" t="str">
        <f>"59105.296"</f>
        <v>59105.296</v>
      </c>
      <c r="F672" t="str">
        <f>""</f>
        <v/>
      </c>
      <c r="G672" t="str">
        <f>"0.002"</f>
        <v>0.002</v>
      </c>
      <c r="H672" t="str">
        <f>""</f>
        <v/>
      </c>
      <c r="I672" t="str">
        <f t="shared" si="75"/>
        <v xml:space="preserve">                                                     </v>
      </c>
      <c r="J672" t="str">
        <f>""</f>
        <v/>
      </c>
    </row>
    <row r="673" spans="1:10">
      <c r="A673" s="1" t="str">
        <f>"3d6.4s.(4D).5p"</f>
        <v>3d6.4s.(4D).5p</v>
      </c>
      <c r="B673" t="str">
        <f>"5P*"</f>
        <v>5P*</v>
      </c>
      <c r="C673" t="str">
        <f>"1"</f>
        <v>1</v>
      </c>
      <c r="D673" t="str">
        <f>""</f>
        <v/>
      </c>
      <c r="E673" t="str">
        <f>"59360.198"</f>
        <v>59360.198</v>
      </c>
      <c r="F673" t="str">
        <f>""</f>
        <v/>
      </c>
      <c r="G673" t="str">
        <f>"0.003"</f>
        <v>0.003</v>
      </c>
      <c r="H673" t="str">
        <f>""</f>
        <v/>
      </c>
      <c r="I673" t="str">
        <f t="shared" ref="I673:I704" si="78">"                                                     "</f>
        <v xml:space="preserve">                                                     </v>
      </c>
      <c r="J673" t="str">
        <f>""</f>
        <v/>
      </c>
    </row>
    <row r="674" spans="1:10">
      <c r="A674" s="1" t="str">
        <f>"3d6.4s.(4D).4d"</f>
        <v>3d6.4s.(4D).4d</v>
      </c>
      <c r="B674" t="str">
        <f>"3D"</f>
        <v>3D</v>
      </c>
      <c r="C674" t="str">
        <f>"3"</f>
        <v>3</v>
      </c>
      <c r="D674" t="str">
        <f>""</f>
        <v/>
      </c>
      <c r="E674" t="str">
        <f>"58682.322"</f>
        <v>58682.322</v>
      </c>
      <c r="F674" t="str">
        <f>""</f>
        <v/>
      </c>
      <c r="G674" t="str">
        <f>"0.003"</f>
        <v>0.003</v>
      </c>
      <c r="H674" t="str">
        <f>""</f>
        <v/>
      </c>
      <c r="I674" t="str">
        <f t="shared" si="78"/>
        <v xml:space="preserve">                                                     </v>
      </c>
      <c r="J674" t="str">
        <f>""</f>
        <v/>
      </c>
    </row>
    <row r="675" spans="1:10">
      <c r="A675" s="1" t="str">
        <f>"3d6.4s.(4D).4d"</f>
        <v>3d6.4s.(4D).4d</v>
      </c>
      <c r="B675" t="str">
        <f>"3D"</f>
        <v>3D</v>
      </c>
      <c r="C675" t="str">
        <f>"1"</f>
        <v>1</v>
      </c>
      <c r="D675" t="str">
        <f>""</f>
        <v/>
      </c>
      <c r="E675" t="str">
        <f>"58965.752"</f>
        <v>58965.752</v>
      </c>
      <c r="F675" t="str">
        <f>""</f>
        <v/>
      </c>
      <c r="G675" t="str">
        <f>"0.004"</f>
        <v>0.004</v>
      </c>
      <c r="H675" t="str">
        <f>""</f>
        <v/>
      </c>
      <c r="I675" t="str">
        <f t="shared" si="78"/>
        <v xml:space="preserve">                                                     </v>
      </c>
      <c r="J675" t="str">
        <f>""</f>
        <v/>
      </c>
    </row>
    <row r="676" spans="1:10">
      <c r="A676" s="1" t="str">
        <f>"3d6.4s.(4D).4d"</f>
        <v>3d6.4s.(4D).4d</v>
      </c>
      <c r="B676" t="str">
        <f>"3D"</f>
        <v>3D</v>
      </c>
      <c r="C676" t="str">
        <f>"2"</f>
        <v>2</v>
      </c>
      <c r="D676" t="str">
        <f>""</f>
        <v/>
      </c>
      <c r="E676" t="str">
        <f>"58979.823"</f>
        <v>58979.823</v>
      </c>
      <c r="F676" t="str">
        <f>""</f>
        <v/>
      </c>
      <c r="G676" t="str">
        <f t="shared" ref="G676:G681" si="79">"0.002"</f>
        <v>0.002</v>
      </c>
      <c r="H676" t="str">
        <f>""</f>
        <v/>
      </c>
      <c r="I676" t="str">
        <f t="shared" si="78"/>
        <v xml:space="preserve">                                                     </v>
      </c>
      <c r="J676" t="str">
        <f>""</f>
        <v/>
      </c>
    </row>
    <row r="677" spans="1:10">
      <c r="A677" s="1" t="str">
        <f t="shared" ref="A677:A682" si="80">"3d7.(4F&lt;9/2&gt;).4f"</f>
        <v>3d7.(4F&lt;9/2&gt;).4f</v>
      </c>
      <c r="B677" t="str">
        <f>"2[11/2]*"</f>
        <v>2[11/2]*</v>
      </c>
      <c r="C677" t="str">
        <f>"6"</f>
        <v>6</v>
      </c>
      <c r="D677" t="str">
        <f>""</f>
        <v/>
      </c>
      <c r="E677" t="str">
        <f>"58700.540"</f>
        <v>58700.540</v>
      </c>
      <c r="F677" t="str">
        <f>""</f>
        <v/>
      </c>
      <c r="G677" t="str">
        <f t="shared" si="79"/>
        <v>0.002</v>
      </c>
      <c r="H677" t="str">
        <f>""</f>
        <v/>
      </c>
      <c r="I677" t="str">
        <f t="shared" si="78"/>
        <v xml:space="preserve">                                                     </v>
      </c>
      <c r="J677" t="str">
        <f>""</f>
        <v/>
      </c>
    </row>
    <row r="678" spans="1:10">
      <c r="A678" s="1" t="str">
        <f t="shared" si="80"/>
        <v>3d7.(4F&lt;9/2&gt;).4f</v>
      </c>
      <c r="B678" t="str">
        <f>"2[11/2]*"</f>
        <v>2[11/2]*</v>
      </c>
      <c r="C678" t="str">
        <f>"5"</f>
        <v>5</v>
      </c>
      <c r="D678" t="str">
        <f>""</f>
        <v/>
      </c>
      <c r="E678" t="str">
        <f>"58700.834"</f>
        <v>58700.834</v>
      </c>
      <c r="F678" t="str">
        <f>""</f>
        <v/>
      </c>
      <c r="G678" t="str">
        <f t="shared" si="79"/>
        <v>0.002</v>
      </c>
      <c r="H678" t="str">
        <f>""</f>
        <v/>
      </c>
      <c r="I678" t="str">
        <f t="shared" si="78"/>
        <v xml:space="preserve">                                                     </v>
      </c>
      <c r="J678" t="str">
        <f>""</f>
        <v/>
      </c>
    </row>
    <row r="679" spans="1:10">
      <c r="A679" s="1" t="str">
        <f t="shared" si="80"/>
        <v>3d7.(4F&lt;9/2&gt;).4f</v>
      </c>
      <c r="B679" t="str">
        <f>"2[13/2]*"</f>
        <v>2[13/2]*</v>
      </c>
      <c r="C679" t="str">
        <f>"6"</f>
        <v>6</v>
      </c>
      <c r="D679" t="str">
        <f>""</f>
        <v/>
      </c>
      <c r="E679" t="str">
        <f>"58702.681"</f>
        <v>58702.681</v>
      </c>
      <c r="F679" t="str">
        <f>""</f>
        <v/>
      </c>
      <c r="G679" t="str">
        <f t="shared" si="79"/>
        <v>0.002</v>
      </c>
      <c r="H679" t="str">
        <f>""</f>
        <v/>
      </c>
      <c r="I679" t="str">
        <f t="shared" si="78"/>
        <v xml:space="preserve">                                                     </v>
      </c>
      <c r="J679" t="str">
        <f>""</f>
        <v/>
      </c>
    </row>
    <row r="680" spans="1:10">
      <c r="A680" s="1" t="str">
        <f t="shared" si="80"/>
        <v>3d7.(4F&lt;9/2&gt;).4f</v>
      </c>
      <c r="B680" t="str">
        <f>"2[13/2]*"</f>
        <v>2[13/2]*</v>
      </c>
      <c r="C680" t="str">
        <f>"7"</f>
        <v>7</v>
      </c>
      <c r="D680" t="str">
        <f>""</f>
        <v/>
      </c>
      <c r="E680" t="str">
        <f>"58706.068"</f>
        <v>58706.068</v>
      </c>
      <c r="F680" t="str">
        <f>""</f>
        <v/>
      </c>
      <c r="G680" t="str">
        <f t="shared" si="79"/>
        <v>0.002</v>
      </c>
      <c r="H680" t="str">
        <f>""</f>
        <v/>
      </c>
      <c r="I680" t="str">
        <f t="shared" si="78"/>
        <v xml:space="preserve">                                                     </v>
      </c>
      <c r="J680" t="str">
        <f>""</f>
        <v/>
      </c>
    </row>
    <row r="681" spans="1:10">
      <c r="A681" s="1" t="str">
        <f t="shared" si="80"/>
        <v>3d7.(4F&lt;9/2&gt;).4f</v>
      </c>
      <c r="B681" t="str">
        <f>"2[9/2]*"</f>
        <v>2[9/2]*</v>
      </c>
      <c r="C681" t="str">
        <f>"4"</f>
        <v>4</v>
      </c>
      <c r="D681" t="str">
        <f>""</f>
        <v/>
      </c>
      <c r="E681" t="str">
        <f>"58704.913"</f>
        <v>58704.913</v>
      </c>
      <c r="F681" t="str">
        <f>""</f>
        <v/>
      </c>
      <c r="G681" t="str">
        <f t="shared" si="79"/>
        <v>0.002</v>
      </c>
      <c r="H681" t="str">
        <f>""</f>
        <v/>
      </c>
      <c r="I681" t="str">
        <f t="shared" si="78"/>
        <v xml:space="preserve">                                                     </v>
      </c>
      <c r="J681" t="str">
        <f>""</f>
        <v/>
      </c>
    </row>
    <row r="682" spans="1:10">
      <c r="A682" s="1" t="str">
        <f t="shared" si="80"/>
        <v>3d7.(4F&lt;9/2&gt;).4f</v>
      </c>
      <c r="B682" t="str">
        <f>"2[9/2]*"</f>
        <v>2[9/2]*</v>
      </c>
      <c r="C682" t="str">
        <f>"5"</f>
        <v>5</v>
      </c>
      <c r="D682" t="str">
        <f>""</f>
        <v/>
      </c>
      <c r="E682" t="str">
        <f>"58707.383"</f>
        <v>58707.383</v>
      </c>
      <c r="F682" t="str">
        <f>""</f>
        <v/>
      </c>
      <c r="G682" t="str">
        <f>"0.003"</f>
        <v>0.003</v>
      </c>
      <c r="H682" t="str">
        <f>""</f>
        <v/>
      </c>
      <c r="I682" t="str">
        <f t="shared" si="78"/>
        <v xml:space="preserve">                                                     </v>
      </c>
      <c r="J682" t="str">
        <f>""</f>
        <v/>
      </c>
    </row>
    <row r="683" spans="1:10">
      <c r="A683" s="1" t="str">
        <f>"3d7.(4F).5d"</f>
        <v>3d7.(4F).5d</v>
      </c>
      <c r="B683" t="str">
        <f>"5H"</f>
        <v>5H</v>
      </c>
      <c r="C683" t="str">
        <f>"7"</f>
        <v>7</v>
      </c>
      <c r="D683" t="str">
        <f>""</f>
        <v/>
      </c>
      <c r="E683" t="str">
        <f>"58710.811"</f>
        <v>58710.811</v>
      </c>
      <c r="F683" t="str">
        <f>""</f>
        <v/>
      </c>
      <c r="G683" t="str">
        <f>"0.05"</f>
        <v>0.05</v>
      </c>
      <c r="H683" t="str">
        <f>""</f>
        <v/>
      </c>
      <c r="I683" t="str">
        <f t="shared" si="78"/>
        <v xml:space="preserve">                                                     </v>
      </c>
      <c r="J683" t="str">
        <f>""</f>
        <v/>
      </c>
    </row>
    <row r="684" spans="1:10">
      <c r="A684" s="1" t="str">
        <f t="shared" ref="A684:A689" si="81">"3d7.(4F&lt;9/2&gt;).4f"</f>
        <v>3d7.(4F&lt;9/2&gt;).4f</v>
      </c>
      <c r="B684" t="str">
        <f>"2[7/2]*"</f>
        <v>2[7/2]*</v>
      </c>
      <c r="C684" t="str">
        <f>"4"</f>
        <v>4</v>
      </c>
      <c r="D684" t="str">
        <f>""</f>
        <v/>
      </c>
      <c r="E684" t="str">
        <f>"58711.247"</f>
        <v>58711.247</v>
      </c>
      <c r="F684" t="str">
        <f>""</f>
        <v/>
      </c>
      <c r="G684" t="str">
        <f>"0.003"</f>
        <v>0.003</v>
      </c>
      <c r="H684" t="str">
        <f>""</f>
        <v/>
      </c>
      <c r="I684" t="str">
        <f t="shared" si="78"/>
        <v xml:space="preserve">                                                     </v>
      </c>
      <c r="J684" t="str">
        <f>""</f>
        <v/>
      </c>
    </row>
    <row r="685" spans="1:10">
      <c r="A685" s="1" t="str">
        <f t="shared" si="81"/>
        <v>3d7.(4F&lt;9/2&gt;).4f</v>
      </c>
      <c r="B685" t="str">
        <f>"2[7/2]*"</f>
        <v>2[7/2]*</v>
      </c>
      <c r="C685" t="str">
        <f>"3"</f>
        <v>3</v>
      </c>
      <c r="D685" t="str">
        <f>""</f>
        <v/>
      </c>
      <c r="E685" t="str">
        <f>"58714.648"</f>
        <v>58714.648</v>
      </c>
      <c r="F685" t="str">
        <f>""</f>
        <v/>
      </c>
      <c r="G685" t="str">
        <f>"0.002"</f>
        <v>0.002</v>
      </c>
      <c r="H685" t="str">
        <f>""</f>
        <v/>
      </c>
      <c r="I685" t="str">
        <f t="shared" si="78"/>
        <v xml:space="preserve">                                                     </v>
      </c>
      <c r="J685" t="str">
        <f>""</f>
        <v/>
      </c>
    </row>
    <row r="686" spans="1:10">
      <c r="A686" s="1" t="str">
        <f t="shared" si="81"/>
        <v>3d7.(4F&lt;9/2&gt;).4f</v>
      </c>
      <c r="B686" t="str">
        <f>"2[15/2]*"</f>
        <v>2[15/2]*</v>
      </c>
      <c r="C686" t="str">
        <f>"8"</f>
        <v>8</v>
      </c>
      <c r="D686" t="str">
        <f>""</f>
        <v/>
      </c>
      <c r="E686" t="str">
        <f>"58718.498"</f>
        <v>58718.498</v>
      </c>
      <c r="F686" t="str">
        <f>""</f>
        <v/>
      </c>
      <c r="G686" t="str">
        <f>"0.003"</f>
        <v>0.003</v>
      </c>
      <c r="H686" t="str">
        <f>""</f>
        <v/>
      </c>
      <c r="I686" t="str">
        <f t="shared" si="78"/>
        <v xml:space="preserve">                                                     </v>
      </c>
      <c r="J686" t="str">
        <f>""</f>
        <v/>
      </c>
    </row>
    <row r="687" spans="1:10">
      <c r="A687" s="1" t="str">
        <f t="shared" si="81"/>
        <v>3d7.(4F&lt;9/2&gt;).4f</v>
      </c>
      <c r="B687" t="str">
        <f>"2[15/2]*"</f>
        <v>2[15/2]*</v>
      </c>
      <c r="C687" t="str">
        <f>"7"</f>
        <v>7</v>
      </c>
      <c r="D687" t="str">
        <f>""</f>
        <v/>
      </c>
      <c r="E687" t="str">
        <f>"58722.564"</f>
        <v>58722.564</v>
      </c>
      <c r="F687" t="str">
        <f>""</f>
        <v/>
      </c>
      <c r="G687" t="str">
        <f>"0.003"</f>
        <v>0.003</v>
      </c>
      <c r="H687" t="str">
        <f>""</f>
        <v/>
      </c>
      <c r="I687" t="str">
        <f t="shared" si="78"/>
        <v xml:space="preserve">                                                     </v>
      </c>
      <c r="J687" t="str">
        <f>""</f>
        <v/>
      </c>
    </row>
    <row r="688" spans="1:10">
      <c r="A688" s="1" t="str">
        <f t="shared" si="81"/>
        <v>3d7.(4F&lt;9/2&gt;).4f</v>
      </c>
      <c r="B688" t="str">
        <f>"2[5/2]*"</f>
        <v>2[5/2]*</v>
      </c>
      <c r="C688" t="str">
        <f>"3"</f>
        <v>3</v>
      </c>
      <c r="D688" t="str">
        <f>""</f>
        <v/>
      </c>
      <c r="E688" t="str">
        <f>"58719.040"</f>
        <v>58719.040</v>
      </c>
      <c r="F688" t="str">
        <f>""</f>
        <v/>
      </c>
      <c r="G688" t="str">
        <f>"0.002"</f>
        <v>0.002</v>
      </c>
      <c r="H688" t="str">
        <f>""</f>
        <v/>
      </c>
      <c r="I688" t="str">
        <f t="shared" si="78"/>
        <v xml:space="preserve">                                                     </v>
      </c>
      <c r="J688" t="str">
        <f>""</f>
        <v/>
      </c>
    </row>
    <row r="689" spans="1:10">
      <c r="A689" s="1" t="str">
        <f t="shared" si="81"/>
        <v>3d7.(4F&lt;9/2&gt;).4f</v>
      </c>
      <c r="B689" t="str">
        <f>"2[5/2]*"</f>
        <v>2[5/2]*</v>
      </c>
      <c r="C689" t="str">
        <f>"2"</f>
        <v>2</v>
      </c>
      <c r="D689" t="str">
        <f>""</f>
        <v/>
      </c>
      <c r="E689" t="str">
        <f>"58723.289"</f>
        <v>58723.289</v>
      </c>
      <c r="F689" t="str">
        <f>""</f>
        <v/>
      </c>
      <c r="G689" t="str">
        <f>"0.002"</f>
        <v>0.002</v>
      </c>
      <c r="H689" t="str">
        <f>""</f>
        <v/>
      </c>
      <c r="I689" t="str">
        <f t="shared" si="78"/>
        <v xml:space="preserve">                                                     </v>
      </c>
      <c r="J689" t="str">
        <f>""</f>
        <v/>
      </c>
    </row>
    <row r="690" spans="1:10">
      <c r="A690" s="1" t="str">
        <f>"3d6.(3H).4s.4p.(1P*)"</f>
        <v>3d6.(3H).4s.4p.(1P*)</v>
      </c>
      <c r="B690" t="str">
        <f>"3I*"</f>
        <v>3I*</v>
      </c>
      <c r="C690" t="str">
        <f>"7"</f>
        <v>7</v>
      </c>
      <c r="D690" t="str">
        <f>""</f>
        <v/>
      </c>
      <c r="E690" t="str">
        <f>"58792.255"</f>
        <v>58792.255</v>
      </c>
      <c r="F690" t="str">
        <f>""</f>
        <v/>
      </c>
      <c r="G690" t="str">
        <f>"0.002"</f>
        <v>0.002</v>
      </c>
      <c r="H690" t="str">
        <f>""</f>
        <v/>
      </c>
      <c r="I690" t="str">
        <f t="shared" si="78"/>
        <v xml:space="preserve">                                                     </v>
      </c>
      <c r="J690" t="str">
        <f>""</f>
        <v/>
      </c>
    </row>
    <row r="691" spans="1:10">
      <c r="A691" s="1" t="str">
        <f>"3d6.(3H).4s.4p.(1P*)"</f>
        <v>3d6.(3H).4s.4p.(1P*)</v>
      </c>
      <c r="B691" t="str">
        <f>"3I*"</f>
        <v>3I*</v>
      </c>
      <c r="C691" t="str">
        <f>"6"</f>
        <v>6</v>
      </c>
      <c r="D691" t="str">
        <f>""</f>
        <v/>
      </c>
      <c r="E691" t="str">
        <f>"58946.732"</f>
        <v>58946.732</v>
      </c>
      <c r="F691" t="str">
        <f>""</f>
        <v/>
      </c>
      <c r="G691" t="str">
        <f>"0.003"</f>
        <v>0.003</v>
      </c>
      <c r="H691" t="str">
        <f>""</f>
        <v/>
      </c>
      <c r="I691" t="str">
        <f t="shared" si="78"/>
        <v xml:space="preserve">                                                     </v>
      </c>
      <c r="J691" t="str">
        <f>""</f>
        <v/>
      </c>
    </row>
    <row r="692" spans="1:10">
      <c r="A692" s="1" t="str">
        <f>"3d6.(3H).4s.4p.(1P*)"</f>
        <v>3d6.(3H).4s.4p.(1P*)</v>
      </c>
      <c r="B692" t="str">
        <f>"3I*"</f>
        <v>3I*</v>
      </c>
      <c r="C692" t="str">
        <f>"5"</f>
        <v>5</v>
      </c>
      <c r="D692" t="str">
        <f>""</f>
        <v/>
      </c>
      <c r="E692" t="str">
        <f>"59085.827"</f>
        <v>59085.827</v>
      </c>
      <c r="F692" t="str">
        <f>""</f>
        <v/>
      </c>
      <c r="G692" t="str">
        <f>"0.003"</f>
        <v>0.003</v>
      </c>
      <c r="H692" t="str">
        <f>""</f>
        <v/>
      </c>
      <c r="I692" t="str">
        <f t="shared" si="78"/>
        <v xml:space="preserve">                                                     </v>
      </c>
      <c r="J692" t="str">
        <f>""</f>
        <v/>
      </c>
    </row>
    <row r="693" spans="1:10">
      <c r="A693" s="1" t="str">
        <f>"3d7.(4F).5d"</f>
        <v>3d7.(4F).5d</v>
      </c>
      <c r="B693" t="str">
        <f>"3G"</f>
        <v>3G</v>
      </c>
      <c r="C693" t="str">
        <f>"5"</f>
        <v>5</v>
      </c>
      <c r="D693" t="str">
        <f>""</f>
        <v/>
      </c>
      <c r="E693" t="str">
        <f>"58812.015"</f>
        <v>58812.015</v>
      </c>
      <c r="F693" t="str">
        <f>""</f>
        <v/>
      </c>
      <c r="G693" t="str">
        <f>"0.05"</f>
        <v>0.05</v>
      </c>
      <c r="H693" t="str">
        <f>""</f>
        <v/>
      </c>
      <c r="I693" t="str">
        <f t="shared" si="78"/>
        <v xml:space="preserve">                                                     </v>
      </c>
      <c r="J693" t="str">
        <f>""</f>
        <v/>
      </c>
    </row>
    <row r="694" spans="1:10">
      <c r="A694" s="1" t="str">
        <f>"3d7.(4F).5d"</f>
        <v>3d7.(4F).5d</v>
      </c>
      <c r="B694" t="str">
        <f>"3G"</f>
        <v>3G</v>
      </c>
      <c r="C694" t="str">
        <f>"4"</f>
        <v>4</v>
      </c>
      <c r="D694" t="str">
        <f>""</f>
        <v/>
      </c>
      <c r="E694" t="str">
        <f>"59204.233"</f>
        <v>59204.233</v>
      </c>
      <c r="F694" t="str">
        <f>""</f>
        <v/>
      </c>
      <c r="G694" t="str">
        <f>"0.05"</f>
        <v>0.05</v>
      </c>
      <c r="H694" t="str">
        <f>""</f>
        <v/>
      </c>
      <c r="I694" t="str">
        <f t="shared" si="78"/>
        <v xml:space="preserve">                                                     </v>
      </c>
      <c r="J694" t="str">
        <f>""</f>
        <v/>
      </c>
    </row>
    <row r="695" spans="1:10">
      <c r="A695" s="1" t="str">
        <f>""</f>
        <v/>
      </c>
      <c r="B695" t="str">
        <f>"58831e"</f>
        <v>58831e</v>
      </c>
      <c r="C695" t="str">
        <f>"3"</f>
        <v>3</v>
      </c>
      <c r="D695" t="str">
        <f>""</f>
        <v/>
      </c>
      <c r="E695" t="str">
        <f>"58831.230"</f>
        <v>58831.230</v>
      </c>
      <c r="F695" t="str">
        <f>""</f>
        <v/>
      </c>
      <c r="G695" t="str">
        <f>"0.003"</f>
        <v>0.003</v>
      </c>
      <c r="H695" t="str">
        <f>""</f>
        <v/>
      </c>
      <c r="I695" t="str">
        <f t="shared" si="78"/>
        <v xml:space="preserve">                                                     </v>
      </c>
      <c r="J695" t="str">
        <f>""</f>
        <v/>
      </c>
    </row>
    <row r="696" spans="1:10">
      <c r="A696" s="1" t="str">
        <f>""</f>
        <v/>
      </c>
      <c r="B696" t="str">
        <f>"58906e"</f>
        <v>58906e</v>
      </c>
      <c r="C696" t="str">
        <f>"4"</f>
        <v>4</v>
      </c>
      <c r="D696" t="str">
        <f>""</f>
        <v/>
      </c>
      <c r="E696" t="str">
        <f>"58906.436"</f>
        <v>58906.436</v>
      </c>
      <c r="F696" t="str">
        <f>""</f>
        <v/>
      </c>
      <c r="G696" t="str">
        <f>"0.002"</f>
        <v>0.002</v>
      </c>
      <c r="H696" t="str">
        <f>""</f>
        <v/>
      </c>
      <c r="I696" t="str">
        <f t="shared" si="78"/>
        <v xml:space="preserve">                                                     </v>
      </c>
      <c r="J696" t="str">
        <f>""</f>
        <v/>
      </c>
    </row>
    <row r="697" spans="1:10">
      <c r="A697" s="1" t="str">
        <f>"3d6.4s.(4D).4d"</f>
        <v>3d6.4s.(4D).4d</v>
      </c>
      <c r="B697" t="str">
        <f>"5S"</f>
        <v>5S</v>
      </c>
      <c r="C697" t="str">
        <f>"2"</f>
        <v>2</v>
      </c>
      <c r="D697" t="str">
        <f>""</f>
        <v/>
      </c>
      <c r="E697" t="str">
        <f>"58921.963"</f>
        <v>58921.963</v>
      </c>
      <c r="F697" t="str">
        <f>""</f>
        <v/>
      </c>
      <c r="G697" t="str">
        <f>"0.003"</f>
        <v>0.003</v>
      </c>
      <c r="H697" t="str">
        <f>""</f>
        <v/>
      </c>
      <c r="I697" t="str">
        <f t="shared" si="78"/>
        <v xml:space="preserve">                                                     </v>
      </c>
      <c r="J697" t="str">
        <f>""</f>
        <v/>
      </c>
    </row>
    <row r="698" spans="1:10">
      <c r="A698" s="1" t="str">
        <f>""</f>
        <v/>
      </c>
      <c r="B698" t="str">
        <f>"59077e"</f>
        <v>59077e</v>
      </c>
      <c r="C698" t="str">
        <f>"1"</f>
        <v>1</v>
      </c>
      <c r="D698" t="str">
        <f>""</f>
        <v/>
      </c>
      <c r="E698" t="str">
        <f>"59077.084"</f>
        <v>59077.084</v>
      </c>
      <c r="F698" t="str">
        <f>""</f>
        <v/>
      </c>
      <c r="G698" t="str">
        <f>"0.003"</f>
        <v>0.003</v>
      </c>
      <c r="H698" t="str">
        <f>""</f>
        <v/>
      </c>
      <c r="I698" t="str">
        <f t="shared" si="78"/>
        <v xml:space="preserve">                                                     </v>
      </c>
      <c r="J698" t="str">
        <f>""</f>
        <v/>
      </c>
    </row>
    <row r="699" spans="1:10">
      <c r="A699" s="1" t="str">
        <f t="shared" ref="A699:A704" si="82">"3d6.4s.(6D&lt;9/2&gt;).6d"</f>
        <v>3d6.4s.(6D&lt;9/2&gt;).6d</v>
      </c>
      <c r="B699" t="str">
        <f>"2[11/2]"</f>
        <v>2[11/2]</v>
      </c>
      <c r="C699" t="str">
        <f>"6"</f>
        <v>6</v>
      </c>
      <c r="D699" t="str">
        <f>""</f>
        <v/>
      </c>
      <c r="E699" t="str">
        <f>"59124.074"</f>
        <v>59124.074</v>
      </c>
      <c r="F699" t="str">
        <f>""</f>
        <v/>
      </c>
      <c r="G699" t="str">
        <f>"0.014"</f>
        <v>0.014</v>
      </c>
      <c r="H699" t="str">
        <f>""</f>
        <v/>
      </c>
      <c r="I699" t="str">
        <f t="shared" si="78"/>
        <v xml:space="preserve">                                                     </v>
      </c>
      <c r="J699" t="str">
        <f>""</f>
        <v/>
      </c>
    </row>
    <row r="700" spans="1:10">
      <c r="A700" s="1" t="str">
        <f t="shared" si="82"/>
        <v>3d6.4s.(6D&lt;9/2&gt;).6d</v>
      </c>
      <c r="B700" t="str">
        <f>"2[11/2]"</f>
        <v>2[11/2]</v>
      </c>
      <c r="C700" t="str">
        <f>"5"</f>
        <v>5</v>
      </c>
      <c r="D700" t="str">
        <f>""</f>
        <v/>
      </c>
      <c r="E700" t="str">
        <f>"59182.72"</f>
        <v>59182.72</v>
      </c>
      <c r="F700" t="str">
        <f>""</f>
        <v/>
      </c>
      <c r="G700" t="str">
        <f>"0.02"</f>
        <v>0.02</v>
      </c>
      <c r="H700" t="str">
        <f>""</f>
        <v/>
      </c>
      <c r="I700" t="str">
        <f t="shared" si="78"/>
        <v xml:space="preserve">                                                     </v>
      </c>
      <c r="J700" t="str">
        <f>""</f>
        <v/>
      </c>
    </row>
    <row r="701" spans="1:10">
      <c r="A701" s="1" t="str">
        <f t="shared" si="82"/>
        <v>3d6.4s.(6D&lt;9/2&gt;).6d</v>
      </c>
      <c r="B701" t="str">
        <f>"2[9/2]"</f>
        <v>2[9/2]</v>
      </c>
      <c r="C701" t="str">
        <f>"5"</f>
        <v>5</v>
      </c>
      <c r="D701" t="str">
        <f>""</f>
        <v/>
      </c>
      <c r="E701" t="str">
        <f>"59126.75"</f>
        <v>59126.75</v>
      </c>
      <c r="F701" t="str">
        <f>""</f>
        <v/>
      </c>
      <c r="G701" t="str">
        <f>"0.02"</f>
        <v>0.02</v>
      </c>
      <c r="H701" t="str">
        <f>""</f>
        <v/>
      </c>
      <c r="I701" t="str">
        <f t="shared" si="78"/>
        <v xml:space="preserve">                                                     </v>
      </c>
      <c r="J701" t="str">
        <f>""</f>
        <v/>
      </c>
    </row>
    <row r="702" spans="1:10">
      <c r="A702" s="1" t="str">
        <f t="shared" si="82"/>
        <v>3d6.4s.(6D&lt;9/2&gt;).6d</v>
      </c>
      <c r="B702" t="str">
        <f>"2[9/2]"</f>
        <v>2[9/2]</v>
      </c>
      <c r="C702" t="str">
        <f>"4"</f>
        <v>4</v>
      </c>
      <c r="D702" t="str">
        <f>""</f>
        <v/>
      </c>
      <c r="E702" t="str">
        <f>"59133.61"</f>
        <v>59133.61</v>
      </c>
      <c r="F702" t="str">
        <f>""</f>
        <v/>
      </c>
      <c r="G702" t="str">
        <f>"0.03"</f>
        <v>0.03</v>
      </c>
      <c r="H702" t="str">
        <f>""</f>
        <v/>
      </c>
      <c r="I702" t="str">
        <f t="shared" si="78"/>
        <v xml:space="preserve">                                                     </v>
      </c>
      <c r="J702" t="str">
        <f>""</f>
        <v/>
      </c>
    </row>
    <row r="703" spans="1:10">
      <c r="A703" s="1" t="str">
        <f t="shared" si="82"/>
        <v>3d6.4s.(6D&lt;9/2&gt;).6d</v>
      </c>
      <c r="B703" t="str">
        <f>"2[13/2]"</f>
        <v>2[13/2]</v>
      </c>
      <c r="C703" t="str">
        <f>"6"</f>
        <v>6</v>
      </c>
      <c r="D703" t="str">
        <f>""</f>
        <v/>
      </c>
      <c r="E703" t="str">
        <f>"59146.37"</f>
        <v>59146.37</v>
      </c>
      <c r="F703" t="str">
        <f>""</f>
        <v/>
      </c>
      <c r="G703" t="str">
        <f>"0.02"</f>
        <v>0.02</v>
      </c>
      <c r="H703" t="str">
        <f>""</f>
        <v/>
      </c>
      <c r="I703" t="str">
        <f t="shared" si="78"/>
        <v xml:space="preserve">                                                     </v>
      </c>
      <c r="J703" t="str">
        <f>""</f>
        <v/>
      </c>
    </row>
    <row r="704" spans="1:10">
      <c r="A704" s="1" t="str">
        <f t="shared" si="82"/>
        <v>3d6.4s.(6D&lt;9/2&gt;).6d</v>
      </c>
      <c r="B704" t="str">
        <f>"2[13/2]"</f>
        <v>2[13/2]</v>
      </c>
      <c r="C704" t="str">
        <f>"7"</f>
        <v>7</v>
      </c>
      <c r="D704" t="str">
        <f>""</f>
        <v/>
      </c>
      <c r="E704" t="str">
        <f>"59179.134"</f>
        <v>59179.134</v>
      </c>
      <c r="F704" t="str">
        <f>""</f>
        <v/>
      </c>
      <c r="G704" t="str">
        <f>"0.01"</f>
        <v>0.01</v>
      </c>
      <c r="H704" t="str">
        <f>""</f>
        <v/>
      </c>
      <c r="I704" t="str">
        <f t="shared" si="78"/>
        <v xml:space="preserve">                                                     </v>
      </c>
      <c r="J704" t="str">
        <f>""</f>
        <v/>
      </c>
    </row>
    <row r="705" spans="1:10">
      <c r="A705" s="1" t="str">
        <f>"3d6.4s.(4D).4d"</f>
        <v>3d6.4s.(4D).4d</v>
      </c>
      <c r="B705" t="str">
        <f>"3S"</f>
        <v>3S</v>
      </c>
      <c r="C705" t="str">
        <f>"1"</f>
        <v>1</v>
      </c>
      <c r="D705" t="str">
        <f>""</f>
        <v/>
      </c>
      <c r="E705" t="str">
        <f>"59154.662"</f>
        <v>59154.662</v>
      </c>
      <c r="F705" t="str">
        <f>""</f>
        <v/>
      </c>
      <c r="G705" t="str">
        <f>"0.007"</f>
        <v>0.007</v>
      </c>
      <c r="H705" t="str">
        <f>""</f>
        <v/>
      </c>
      <c r="I705" t="str">
        <f t="shared" ref="I705:I736" si="83">"                                                     "</f>
        <v xml:space="preserve">                                                     </v>
      </c>
      <c r="J705" t="str">
        <f>""</f>
        <v/>
      </c>
    </row>
    <row r="706" spans="1:10">
      <c r="A706" s="1" t="str">
        <f>"3d6.4s.(6D&lt;9/2&gt;).6d"</f>
        <v>3d6.4s.(6D&lt;9/2&gt;).6d</v>
      </c>
      <c r="B706" t="str">
        <f>"2[5/2]"</f>
        <v>2[5/2]</v>
      </c>
      <c r="C706" t="str">
        <f>"3"</f>
        <v>3</v>
      </c>
      <c r="D706" t="str">
        <f>""</f>
        <v/>
      </c>
      <c r="E706" t="str">
        <f>"59217.204"</f>
        <v>59217.204</v>
      </c>
      <c r="F706" t="str">
        <f>""</f>
        <v/>
      </c>
      <c r="G706" t="str">
        <f>"0.011"</f>
        <v>0.011</v>
      </c>
      <c r="H706" t="str">
        <f>""</f>
        <v/>
      </c>
      <c r="I706" t="str">
        <f t="shared" si="83"/>
        <v xml:space="preserve">                                                     </v>
      </c>
      <c r="J706" t="str">
        <f>""</f>
        <v/>
      </c>
    </row>
    <row r="707" spans="1:10">
      <c r="A707" s="1" t="str">
        <f>"3d6.4s.(6D&lt;9/2&gt;).6d"</f>
        <v>3d6.4s.(6D&lt;9/2&gt;).6d</v>
      </c>
      <c r="B707" t="str">
        <f>"2[7/2]"</f>
        <v>2[7/2]</v>
      </c>
      <c r="C707" t="str">
        <f>"4"</f>
        <v>4</v>
      </c>
      <c r="D707" t="str">
        <f>""</f>
        <v/>
      </c>
      <c r="E707" t="str">
        <f>"59235.48"</f>
        <v>59235.48</v>
      </c>
      <c r="F707" t="str">
        <f>""</f>
        <v/>
      </c>
      <c r="G707" t="str">
        <f>"0.05"</f>
        <v>0.05</v>
      </c>
      <c r="H707" t="str">
        <f>""</f>
        <v/>
      </c>
      <c r="I707" t="str">
        <f t="shared" si="83"/>
        <v xml:space="preserve">                                                     </v>
      </c>
      <c r="J707" t="str">
        <f>""</f>
        <v/>
      </c>
    </row>
    <row r="708" spans="1:10">
      <c r="A708" s="1" t="str">
        <f>"3d6.4s.(6D&lt;9/2&gt;).6d"</f>
        <v>3d6.4s.(6D&lt;9/2&gt;).6d</v>
      </c>
      <c r="B708" t="str">
        <f>"2[7/2]"</f>
        <v>2[7/2]</v>
      </c>
      <c r="C708" t="str">
        <f>"3"</f>
        <v>3</v>
      </c>
      <c r="D708" t="str">
        <f>""</f>
        <v/>
      </c>
      <c r="E708" t="str">
        <f>"59251.39"</f>
        <v>59251.39</v>
      </c>
      <c r="F708" t="str">
        <f>""</f>
        <v/>
      </c>
      <c r="G708" t="str">
        <f>"0.02"</f>
        <v>0.02</v>
      </c>
      <c r="H708" t="str">
        <f>""</f>
        <v/>
      </c>
      <c r="I708" t="str">
        <f t="shared" si="83"/>
        <v xml:space="preserve">                                                     </v>
      </c>
      <c r="J708" t="str">
        <f>""</f>
        <v/>
      </c>
    </row>
    <row r="709" spans="1:10">
      <c r="A709" s="1" t="str">
        <f t="shared" ref="A709:A718" si="84">"3d7.(4F&lt;7/2&gt;).4f"</f>
        <v>3d7.(4F&lt;7/2&gt;).4f</v>
      </c>
      <c r="B709" t="str">
        <f>"2[9/2]*"</f>
        <v>2[9/2]*</v>
      </c>
      <c r="C709" t="str">
        <f>"4"</f>
        <v>4</v>
      </c>
      <c r="D709" t="str">
        <f>""</f>
        <v/>
      </c>
      <c r="E709" t="str">
        <f>"59262.299"</f>
        <v>59262.299</v>
      </c>
      <c r="F709" t="str">
        <f>""</f>
        <v/>
      </c>
      <c r="G709" t="str">
        <f>"0.002"</f>
        <v>0.002</v>
      </c>
      <c r="H709" t="str">
        <f>""</f>
        <v/>
      </c>
      <c r="I709" t="str">
        <f t="shared" si="83"/>
        <v xml:space="preserve">                                                     </v>
      </c>
      <c r="J709" t="str">
        <f>""</f>
        <v/>
      </c>
    </row>
    <row r="710" spans="1:10">
      <c r="A710" s="1" t="str">
        <f t="shared" si="84"/>
        <v>3d7.(4F&lt;7/2&gt;).4f</v>
      </c>
      <c r="B710" t="str">
        <f>"2[9/2]*"</f>
        <v>2[9/2]*</v>
      </c>
      <c r="C710" t="str">
        <f>"5"</f>
        <v>5</v>
      </c>
      <c r="D710" t="str">
        <f>""</f>
        <v/>
      </c>
      <c r="E710" t="str">
        <f>"59264.884"</f>
        <v>59264.884</v>
      </c>
      <c r="F710" t="str">
        <f>""</f>
        <v/>
      </c>
      <c r="G710" t="str">
        <f>"0.002"</f>
        <v>0.002</v>
      </c>
      <c r="H710" t="str">
        <f>""</f>
        <v/>
      </c>
      <c r="I710" t="str">
        <f t="shared" si="83"/>
        <v xml:space="preserve">                                                     </v>
      </c>
      <c r="J710" t="str">
        <f>""</f>
        <v/>
      </c>
    </row>
    <row r="711" spans="1:10">
      <c r="A711" s="1" t="str">
        <f t="shared" si="84"/>
        <v>3d7.(4F&lt;7/2&gt;).4f</v>
      </c>
      <c r="B711" t="str">
        <f>"2[11/2]*"</f>
        <v>2[11/2]*</v>
      </c>
      <c r="C711" t="str">
        <f>"6"</f>
        <v>6</v>
      </c>
      <c r="D711" t="str">
        <f>""</f>
        <v/>
      </c>
      <c r="E711" t="str">
        <f>"59263.923"</f>
        <v>59263.923</v>
      </c>
      <c r="F711" t="str">
        <f>""</f>
        <v/>
      </c>
      <c r="G711" t="str">
        <f>"0.003"</f>
        <v>0.003</v>
      </c>
      <c r="H711" t="str">
        <f>""</f>
        <v/>
      </c>
      <c r="I711" t="str">
        <f t="shared" si="83"/>
        <v xml:space="preserve">                                                     </v>
      </c>
      <c r="J711" t="str">
        <f>""</f>
        <v/>
      </c>
    </row>
    <row r="712" spans="1:10">
      <c r="A712" s="1" t="str">
        <f t="shared" si="84"/>
        <v>3d7.(4F&lt;7/2&gt;).4f</v>
      </c>
      <c r="B712" t="str">
        <f>"2[11/2]*"</f>
        <v>2[11/2]*</v>
      </c>
      <c r="C712" t="str">
        <f>"5"</f>
        <v>5</v>
      </c>
      <c r="D712" t="str">
        <f>""</f>
        <v/>
      </c>
      <c r="E712" t="str">
        <f>"59265.025"</f>
        <v>59265.025</v>
      </c>
      <c r="F712" t="str">
        <f>""</f>
        <v/>
      </c>
      <c r="G712" t="str">
        <f>"0.002"</f>
        <v>0.002</v>
      </c>
      <c r="H712" t="str">
        <f>""</f>
        <v/>
      </c>
      <c r="I712" t="str">
        <f t="shared" si="83"/>
        <v xml:space="preserve">                                                     </v>
      </c>
      <c r="J712" t="str">
        <f>""</f>
        <v/>
      </c>
    </row>
    <row r="713" spans="1:10">
      <c r="A713" s="1" t="str">
        <f t="shared" si="84"/>
        <v>3d7.(4F&lt;7/2&gt;).4f</v>
      </c>
      <c r="B713" t="str">
        <f>"2[7/2]*"</f>
        <v>2[7/2]*</v>
      </c>
      <c r="C713" t="str">
        <f>"3"</f>
        <v>3</v>
      </c>
      <c r="D713" t="str">
        <f>""</f>
        <v/>
      </c>
      <c r="E713" t="str">
        <f>"59265.477"</f>
        <v>59265.477</v>
      </c>
      <c r="F713" t="str">
        <f>""</f>
        <v/>
      </c>
      <c r="G713" t="str">
        <f>"0.002"</f>
        <v>0.002</v>
      </c>
      <c r="H713" t="str">
        <f>""</f>
        <v/>
      </c>
      <c r="I713" t="str">
        <f t="shared" si="83"/>
        <v xml:space="preserve">                                                     </v>
      </c>
      <c r="J713" t="str">
        <f>""</f>
        <v/>
      </c>
    </row>
    <row r="714" spans="1:10">
      <c r="A714" s="1" t="str">
        <f t="shared" si="84"/>
        <v>3d7.(4F&lt;7/2&gt;).4f</v>
      </c>
      <c r="B714" t="str">
        <f>"2[7/2]*"</f>
        <v>2[7/2]*</v>
      </c>
      <c r="C714" t="str">
        <f>"4"</f>
        <v>4</v>
      </c>
      <c r="D714" t="str">
        <f>""</f>
        <v/>
      </c>
      <c r="E714" t="str">
        <f>"59265.744"</f>
        <v>59265.744</v>
      </c>
      <c r="F714" t="str">
        <f>""</f>
        <v/>
      </c>
      <c r="G714" t="str">
        <f>"0.002"</f>
        <v>0.002</v>
      </c>
      <c r="H714" t="str">
        <f>""</f>
        <v/>
      </c>
      <c r="I714" t="str">
        <f t="shared" si="83"/>
        <v xml:space="preserve">                                                     </v>
      </c>
      <c r="J714" t="str">
        <f>""</f>
        <v/>
      </c>
    </row>
    <row r="715" spans="1:10">
      <c r="A715" s="1" t="str">
        <f t="shared" si="84"/>
        <v>3d7.(4F&lt;7/2&gt;).4f</v>
      </c>
      <c r="B715" t="str">
        <f>"2[5/2]*"</f>
        <v>2[5/2]*</v>
      </c>
      <c r="C715" t="str">
        <f>"2"</f>
        <v>2</v>
      </c>
      <c r="D715" t="str">
        <f>""</f>
        <v/>
      </c>
      <c r="E715" t="str">
        <f>"59270.158"</f>
        <v>59270.158</v>
      </c>
      <c r="F715" t="str">
        <f>""</f>
        <v/>
      </c>
      <c r="G715" t="str">
        <f>"0.002"</f>
        <v>0.002</v>
      </c>
      <c r="H715" t="str">
        <f>""</f>
        <v/>
      </c>
      <c r="I715" t="str">
        <f t="shared" si="83"/>
        <v xml:space="preserve">                                                     </v>
      </c>
      <c r="J715" t="str">
        <f>""</f>
        <v/>
      </c>
    </row>
    <row r="716" spans="1:10">
      <c r="A716" s="1" t="str">
        <f t="shared" si="84"/>
        <v>3d7.(4F&lt;7/2&gt;).4f</v>
      </c>
      <c r="B716" t="str">
        <f>"2[5/2]*"</f>
        <v>2[5/2]*</v>
      </c>
      <c r="C716" t="str">
        <f>"3"</f>
        <v>3</v>
      </c>
      <c r="D716" t="str">
        <f>""</f>
        <v/>
      </c>
      <c r="E716" t="str">
        <f>"59271.318"</f>
        <v>59271.318</v>
      </c>
      <c r="F716" t="str">
        <f>""</f>
        <v/>
      </c>
      <c r="G716" t="str">
        <f>"0.003"</f>
        <v>0.003</v>
      </c>
      <c r="H716" t="str">
        <f>""</f>
        <v/>
      </c>
      <c r="I716" t="str">
        <f t="shared" si="83"/>
        <v xml:space="preserve">                                                     </v>
      </c>
      <c r="J716" t="str">
        <f>""</f>
        <v/>
      </c>
    </row>
    <row r="717" spans="1:10">
      <c r="A717" s="1" t="str">
        <f t="shared" si="84"/>
        <v>3d7.(4F&lt;7/2&gt;).4f</v>
      </c>
      <c r="B717" t="str">
        <f>"2[13/2]*"</f>
        <v>2[13/2]*</v>
      </c>
      <c r="C717" t="str">
        <f>"7"</f>
        <v>7</v>
      </c>
      <c r="D717" t="str">
        <f>""</f>
        <v/>
      </c>
      <c r="E717" t="str">
        <f>"59271.890"</f>
        <v>59271.890</v>
      </c>
      <c r="F717" t="str">
        <f>""</f>
        <v/>
      </c>
      <c r="G717" t="str">
        <f>"0.004"</f>
        <v>0.004</v>
      </c>
      <c r="H717" t="str">
        <f>""</f>
        <v/>
      </c>
      <c r="I717" t="str">
        <f t="shared" si="83"/>
        <v xml:space="preserve">                                                     </v>
      </c>
      <c r="J717" t="str">
        <f>""</f>
        <v/>
      </c>
    </row>
    <row r="718" spans="1:10">
      <c r="A718" s="1" t="str">
        <f t="shared" si="84"/>
        <v>3d7.(4F&lt;7/2&gt;).4f</v>
      </c>
      <c r="B718" t="str">
        <f>"2[13/2]*"</f>
        <v>2[13/2]*</v>
      </c>
      <c r="C718" t="str">
        <f>"6"</f>
        <v>6</v>
      </c>
      <c r="D718" t="str">
        <f>""</f>
        <v/>
      </c>
      <c r="E718" t="str">
        <f>"59273.135"</f>
        <v>59273.135</v>
      </c>
      <c r="F718" t="str">
        <f>""</f>
        <v/>
      </c>
      <c r="G718" t="str">
        <f>"0.004"</f>
        <v>0.004</v>
      </c>
      <c r="H718" t="str">
        <f>""</f>
        <v/>
      </c>
      <c r="I718" t="str">
        <f t="shared" si="83"/>
        <v xml:space="preserve">                                                     </v>
      </c>
      <c r="J718" t="str">
        <f>""</f>
        <v/>
      </c>
    </row>
    <row r="719" spans="1:10">
      <c r="A719" s="1" t="str">
        <f>"3d6.4s.(6D&lt;9/2&gt;).5f"</f>
        <v>3d6.4s.(6D&lt;9/2&gt;).5f</v>
      </c>
      <c r="B719" t="str">
        <f>"2[11/2]*"</f>
        <v>2[11/2]*</v>
      </c>
      <c r="C719" t="str">
        <f>"6"</f>
        <v>6</v>
      </c>
      <c r="D719" t="str">
        <f>""</f>
        <v/>
      </c>
      <c r="E719" t="str">
        <f>"59274.562"</f>
        <v>59274.562</v>
      </c>
      <c r="F719" t="str">
        <f>""</f>
        <v/>
      </c>
      <c r="G719" t="str">
        <f>"0.003"</f>
        <v>0.003</v>
      </c>
      <c r="H719" t="str">
        <f>""</f>
        <v/>
      </c>
      <c r="I719" t="str">
        <f t="shared" si="83"/>
        <v xml:space="preserve">                                                     </v>
      </c>
      <c r="J719" t="str">
        <f>""</f>
        <v/>
      </c>
    </row>
    <row r="720" spans="1:10">
      <c r="A720" s="1" t="str">
        <f>"3d6.4s.(6D&lt;9/2&gt;).5f"</f>
        <v>3d6.4s.(6D&lt;9/2&gt;).5f</v>
      </c>
      <c r="B720" t="str">
        <f>"2[13/2]*"</f>
        <v>2[13/2]*</v>
      </c>
      <c r="C720" t="str">
        <f>"6"</f>
        <v>6</v>
      </c>
      <c r="D720" t="str">
        <f>""</f>
        <v/>
      </c>
      <c r="E720" t="str">
        <f>"59275.884"</f>
        <v>59275.884</v>
      </c>
      <c r="F720" t="str">
        <f>""</f>
        <v/>
      </c>
      <c r="G720" t="str">
        <f>"0.003"</f>
        <v>0.003</v>
      </c>
      <c r="H720" t="str">
        <f>""</f>
        <v/>
      </c>
      <c r="I720" t="str">
        <f t="shared" si="83"/>
        <v xml:space="preserve">                                                     </v>
      </c>
      <c r="J720" t="str">
        <f>""</f>
        <v/>
      </c>
    </row>
    <row r="721" spans="1:10">
      <c r="A721" s="1" t="str">
        <f>"3d6.4s.(6D&lt;9/2&gt;).5f"</f>
        <v>3d6.4s.(6D&lt;9/2&gt;).5f</v>
      </c>
      <c r="B721" t="str">
        <f>"2[13/2]*"</f>
        <v>2[13/2]*</v>
      </c>
      <c r="C721" t="str">
        <f>"7"</f>
        <v>7</v>
      </c>
      <c r="D721" t="str">
        <f>""</f>
        <v/>
      </c>
      <c r="E721" t="str">
        <f>"59277.458"</f>
        <v>59277.458</v>
      </c>
      <c r="F721" t="str">
        <f>""</f>
        <v/>
      </c>
      <c r="G721" t="str">
        <f>"0.003"</f>
        <v>0.003</v>
      </c>
      <c r="H721" t="str">
        <f>""</f>
        <v/>
      </c>
      <c r="I721" t="str">
        <f t="shared" si="83"/>
        <v xml:space="preserve">                                                     </v>
      </c>
      <c r="J721" t="str">
        <f>""</f>
        <v/>
      </c>
    </row>
    <row r="722" spans="1:10">
      <c r="A722" s="1" t="str">
        <f>"3d7.(4F&lt;7/2&gt;).4f"</f>
        <v>3d7.(4F&lt;7/2&gt;).4f</v>
      </c>
      <c r="B722" t="str">
        <f>"2[3/2]*"</f>
        <v>2[3/2]*</v>
      </c>
      <c r="C722" t="str">
        <f>"2"</f>
        <v>2</v>
      </c>
      <c r="D722" t="str">
        <f>""</f>
        <v/>
      </c>
      <c r="E722" t="str">
        <f>"59276.239"</f>
        <v>59276.239</v>
      </c>
      <c r="F722" t="str">
        <f>""</f>
        <v/>
      </c>
      <c r="G722" t="str">
        <f>"0.003"</f>
        <v>0.003</v>
      </c>
      <c r="H722" t="str">
        <f>""</f>
        <v/>
      </c>
      <c r="I722" t="str">
        <f t="shared" si="83"/>
        <v xml:space="preserve">                                                     </v>
      </c>
      <c r="J722" t="str">
        <f>""</f>
        <v/>
      </c>
    </row>
    <row r="723" spans="1:10">
      <c r="A723" s="1" t="str">
        <f>"3d6.4s.(6D&lt;9/2&gt;).5f"</f>
        <v>3d6.4s.(6D&lt;9/2&gt;).5f</v>
      </c>
      <c r="B723" t="str">
        <f>"2[15/2]*"</f>
        <v>2[15/2]*</v>
      </c>
      <c r="C723" t="str">
        <f>"7"</f>
        <v>7</v>
      </c>
      <c r="D723" t="str">
        <f>""</f>
        <v/>
      </c>
      <c r="E723" t="str">
        <f>"59290.37"</f>
        <v>59290.37</v>
      </c>
      <c r="F723" t="str">
        <f>""</f>
        <v/>
      </c>
      <c r="G723" t="str">
        <f>"0.02"</f>
        <v>0.02</v>
      </c>
      <c r="H723" t="str">
        <f>""</f>
        <v/>
      </c>
      <c r="I723" t="str">
        <f t="shared" si="83"/>
        <v xml:space="preserve">                                                     </v>
      </c>
      <c r="J723" t="str">
        <f>""</f>
        <v/>
      </c>
    </row>
    <row r="724" spans="1:10">
      <c r="A724" s="1" t="str">
        <f>"3d6.4s.(6D&lt;9/2&gt;).5f"</f>
        <v>3d6.4s.(6D&lt;9/2&gt;).5f</v>
      </c>
      <c r="B724" t="str">
        <f>"2[15/2]*"</f>
        <v>2[15/2]*</v>
      </c>
      <c r="C724" t="str">
        <f>"8"</f>
        <v>8</v>
      </c>
      <c r="D724" t="str">
        <f>""</f>
        <v/>
      </c>
      <c r="E724" t="str">
        <f>"59290.425"</f>
        <v>59290.425</v>
      </c>
      <c r="F724" t="str">
        <f>""</f>
        <v/>
      </c>
      <c r="G724" t="str">
        <f>"0.003"</f>
        <v>0.003</v>
      </c>
      <c r="H724" t="str">
        <f>""</f>
        <v/>
      </c>
      <c r="I724" t="str">
        <f t="shared" si="83"/>
        <v xml:space="preserve">                                                     </v>
      </c>
      <c r="J724" t="str">
        <f>""</f>
        <v/>
      </c>
    </row>
    <row r="725" spans="1:10">
      <c r="A725" s="1" t="str">
        <f>"3d6.4s.(4D).4d"</f>
        <v>3d6.4s.(4D).4d</v>
      </c>
      <c r="B725" t="str">
        <f>"3F"</f>
        <v>3F</v>
      </c>
      <c r="C725" t="str">
        <f>"4"</f>
        <v>4</v>
      </c>
      <c r="D725" t="str">
        <f>""</f>
        <v/>
      </c>
      <c r="E725" t="str">
        <f>"59301.904"</f>
        <v>59301.904</v>
      </c>
      <c r="F725" t="str">
        <f>""</f>
        <v/>
      </c>
      <c r="G725" t="str">
        <f>"0.009"</f>
        <v>0.009</v>
      </c>
      <c r="H725" t="str">
        <f>""</f>
        <v/>
      </c>
      <c r="I725" t="str">
        <f t="shared" si="83"/>
        <v xml:space="preserve">                                                     </v>
      </c>
      <c r="J725" t="str">
        <f>""</f>
        <v/>
      </c>
    </row>
    <row r="726" spans="1:10">
      <c r="A726" s="1" t="str">
        <f>"3d6.4s.(4D).4d"</f>
        <v>3d6.4s.(4D).4d</v>
      </c>
      <c r="B726" t="str">
        <f>"3F"</f>
        <v>3F</v>
      </c>
      <c r="C726" t="str">
        <f>"3"</f>
        <v>3</v>
      </c>
      <c r="D726" t="str">
        <f>""</f>
        <v/>
      </c>
      <c r="E726" t="str">
        <f>"59522.714"</f>
        <v>59522.714</v>
      </c>
      <c r="F726" t="str">
        <f>""</f>
        <v/>
      </c>
      <c r="G726" t="str">
        <f>"0.003"</f>
        <v>0.003</v>
      </c>
      <c r="H726" t="str">
        <f>""</f>
        <v/>
      </c>
      <c r="I726" t="str">
        <f t="shared" si="83"/>
        <v xml:space="preserve">                                                     </v>
      </c>
      <c r="J726" t="str">
        <f>""</f>
        <v/>
      </c>
    </row>
    <row r="727" spans="1:10">
      <c r="A727" s="1" t="str">
        <f>"3d6.4s.(4D).4d"</f>
        <v>3d6.4s.(4D).4d</v>
      </c>
      <c r="B727" t="str">
        <f>"3F"</f>
        <v>3F</v>
      </c>
      <c r="C727" t="str">
        <f>"2"</f>
        <v>2</v>
      </c>
      <c r="D727" t="str">
        <f>""</f>
        <v/>
      </c>
      <c r="E727" t="str">
        <f>"59815.558"</f>
        <v>59815.558</v>
      </c>
      <c r="F727" t="str">
        <f>""</f>
        <v/>
      </c>
      <c r="G727" t="str">
        <f>"0.003"</f>
        <v>0.003</v>
      </c>
      <c r="H727" t="str">
        <f>""</f>
        <v/>
      </c>
      <c r="I727" t="str">
        <f t="shared" si="83"/>
        <v xml:space="preserve">                                                     </v>
      </c>
      <c r="J727" t="str">
        <f>""</f>
        <v/>
      </c>
    </row>
    <row r="728" spans="1:10">
      <c r="A728" s="1" t="str">
        <f t="shared" ref="A728:A745" si="85">"3d6.4s.(6D&lt;9/2&gt;).5g"</f>
        <v>3d6.4s.(6D&lt;9/2&gt;).5g</v>
      </c>
      <c r="B728" t="str">
        <f>"2[13/2]"</f>
        <v>2[13/2]</v>
      </c>
      <c r="C728" t="str">
        <f>"6"</f>
        <v>6</v>
      </c>
      <c r="D728" t="str">
        <f>""</f>
        <v/>
      </c>
      <c r="E728" t="str">
        <f>"59329.646"</f>
        <v>59329.646</v>
      </c>
      <c r="F728" t="str">
        <f>""</f>
        <v/>
      </c>
      <c r="G728" t="str">
        <f>"0.004"</f>
        <v>0.004</v>
      </c>
      <c r="H728" t="str">
        <f>""</f>
        <v/>
      </c>
      <c r="I728" t="str">
        <f t="shared" si="83"/>
        <v xml:space="preserve">                                                     </v>
      </c>
      <c r="J728" t="str">
        <f>""</f>
        <v/>
      </c>
    </row>
    <row r="729" spans="1:10">
      <c r="A729" s="1" t="str">
        <f t="shared" si="85"/>
        <v>3d6.4s.(6D&lt;9/2&gt;).5g</v>
      </c>
      <c r="B729" t="str">
        <f>"2[13/2]"</f>
        <v>2[13/2]</v>
      </c>
      <c r="C729" t="str">
        <f>"7"</f>
        <v>7</v>
      </c>
      <c r="D729" t="str">
        <f>""</f>
        <v/>
      </c>
      <c r="E729" t="str">
        <f>"59329.649"</f>
        <v>59329.649</v>
      </c>
      <c r="F729" t="str">
        <f>""</f>
        <v/>
      </c>
      <c r="G729" t="str">
        <f>"0.004"</f>
        <v>0.004</v>
      </c>
      <c r="H729" t="str">
        <f>""</f>
        <v/>
      </c>
      <c r="I729" t="str">
        <f t="shared" si="83"/>
        <v xml:space="preserve">                                                     </v>
      </c>
      <c r="J729" t="str">
        <f>""</f>
        <v/>
      </c>
    </row>
    <row r="730" spans="1:10">
      <c r="A730" s="1" t="str">
        <f t="shared" si="85"/>
        <v>3d6.4s.(6D&lt;9/2&gt;).5g</v>
      </c>
      <c r="B730" t="str">
        <f>"2[11/2]"</f>
        <v>2[11/2]</v>
      </c>
      <c r="C730" t="str">
        <f>"5"</f>
        <v>5</v>
      </c>
      <c r="D730" t="str">
        <f>""</f>
        <v/>
      </c>
      <c r="E730" t="str">
        <f>"59329.895"</f>
        <v>59329.895</v>
      </c>
      <c r="F730" t="str">
        <f>""</f>
        <v/>
      </c>
      <c r="G730" t="str">
        <f>"0.003"</f>
        <v>0.003</v>
      </c>
      <c r="H730" t="str">
        <f>""</f>
        <v/>
      </c>
      <c r="I730" t="str">
        <f t="shared" si="83"/>
        <v xml:space="preserve">                                                     </v>
      </c>
      <c r="J730" t="str">
        <f>""</f>
        <v/>
      </c>
    </row>
    <row r="731" spans="1:10">
      <c r="A731" s="1" t="str">
        <f t="shared" si="85"/>
        <v>3d6.4s.(6D&lt;9/2&gt;).5g</v>
      </c>
      <c r="B731" t="str">
        <f>"2[11/2]"</f>
        <v>2[11/2]</v>
      </c>
      <c r="C731" t="str">
        <f>"6"</f>
        <v>6</v>
      </c>
      <c r="D731" t="str">
        <f>""</f>
        <v/>
      </c>
      <c r="E731" t="str">
        <f>"59329.896"</f>
        <v>59329.896</v>
      </c>
      <c r="F731" t="str">
        <f>""</f>
        <v/>
      </c>
      <c r="G731" t="str">
        <f>"0.004"</f>
        <v>0.004</v>
      </c>
      <c r="H731" t="str">
        <f>""</f>
        <v/>
      </c>
      <c r="I731" t="str">
        <f t="shared" si="83"/>
        <v xml:space="preserve">                                                     </v>
      </c>
      <c r="J731" t="str">
        <f>""</f>
        <v/>
      </c>
    </row>
    <row r="732" spans="1:10">
      <c r="A732" s="1" t="str">
        <f t="shared" si="85"/>
        <v>3d6.4s.(6D&lt;9/2&gt;).5g</v>
      </c>
      <c r="B732" t="str">
        <f>"2[15/2]"</f>
        <v>2[15/2]</v>
      </c>
      <c r="C732" t="str">
        <f>"8"</f>
        <v>8</v>
      </c>
      <c r="D732" t="str">
        <f>""</f>
        <v/>
      </c>
      <c r="E732" t="str">
        <f>"59331.273"</f>
        <v>59331.273</v>
      </c>
      <c r="F732" t="str">
        <f>""</f>
        <v/>
      </c>
      <c r="G732" t="str">
        <f>"0.005"</f>
        <v>0.005</v>
      </c>
      <c r="H732" t="str">
        <f>""</f>
        <v/>
      </c>
      <c r="I732" t="str">
        <f t="shared" si="83"/>
        <v xml:space="preserve">                                                     </v>
      </c>
      <c r="J732" t="str">
        <f>""</f>
        <v/>
      </c>
    </row>
    <row r="733" spans="1:10">
      <c r="A733" s="1" t="str">
        <f t="shared" si="85"/>
        <v>3d6.4s.(6D&lt;9/2&gt;).5g</v>
      </c>
      <c r="B733" t="str">
        <f>"2[15/2]"</f>
        <v>2[15/2]</v>
      </c>
      <c r="C733" t="str">
        <f>"7"</f>
        <v>7</v>
      </c>
      <c r="D733" t="str">
        <f>""</f>
        <v/>
      </c>
      <c r="E733" t="str">
        <f>"59331.274"</f>
        <v>59331.274</v>
      </c>
      <c r="F733" t="str">
        <f>""</f>
        <v/>
      </c>
      <c r="G733" t="str">
        <f>"0.004"</f>
        <v>0.004</v>
      </c>
      <c r="H733" t="str">
        <f>""</f>
        <v/>
      </c>
      <c r="I733" t="str">
        <f t="shared" si="83"/>
        <v xml:space="preserve">                                                     </v>
      </c>
      <c r="J733" t="str">
        <f>""</f>
        <v/>
      </c>
    </row>
    <row r="734" spans="1:10">
      <c r="A734" s="1" t="str">
        <f t="shared" si="85"/>
        <v>3d6.4s.(6D&lt;9/2&gt;).5g</v>
      </c>
      <c r="B734" t="str">
        <f>"2[9/2]"</f>
        <v>2[9/2]</v>
      </c>
      <c r="C734" t="str">
        <f>"5"</f>
        <v>5</v>
      </c>
      <c r="D734" t="str">
        <f>""</f>
        <v/>
      </c>
      <c r="E734" t="str">
        <f>"59331.290"</f>
        <v>59331.290</v>
      </c>
      <c r="F734" t="str">
        <f>""</f>
        <v/>
      </c>
      <c r="G734" t="str">
        <f>"0.004"</f>
        <v>0.004</v>
      </c>
      <c r="H734" t="str">
        <f>""</f>
        <v/>
      </c>
      <c r="I734" t="str">
        <f t="shared" si="83"/>
        <v xml:space="preserve">                                                     </v>
      </c>
      <c r="J734" t="str">
        <f>""</f>
        <v/>
      </c>
    </row>
    <row r="735" spans="1:10">
      <c r="A735" s="1" t="str">
        <f t="shared" si="85"/>
        <v>3d6.4s.(6D&lt;9/2&gt;).5g</v>
      </c>
      <c r="B735" t="str">
        <f>"2[9/2]"</f>
        <v>2[9/2]</v>
      </c>
      <c r="C735" t="str">
        <f>"4"</f>
        <v>4</v>
      </c>
      <c r="D735" t="str">
        <f>""</f>
        <v/>
      </c>
      <c r="E735" t="str">
        <f>"59331.291"</f>
        <v>59331.291</v>
      </c>
      <c r="F735" t="str">
        <f>""</f>
        <v/>
      </c>
      <c r="G735" t="str">
        <f>"0.004"</f>
        <v>0.004</v>
      </c>
      <c r="H735" t="str">
        <f>""</f>
        <v/>
      </c>
      <c r="I735" t="str">
        <f t="shared" si="83"/>
        <v xml:space="preserve">                                                     </v>
      </c>
      <c r="J735" t="str">
        <f>""</f>
        <v/>
      </c>
    </row>
    <row r="736" spans="1:10">
      <c r="A736" s="1" t="str">
        <f t="shared" si="85"/>
        <v>3d6.4s.(6D&lt;9/2&gt;).5g</v>
      </c>
      <c r="B736" t="str">
        <f>"2[7/2]"</f>
        <v>2[7/2]</v>
      </c>
      <c r="C736" t="str">
        <f>"4"</f>
        <v>4</v>
      </c>
      <c r="D736" t="str">
        <f>""</f>
        <v/>
      </c>
      <c r="E736" t="str">
        <f>"59333.259"</f>
        <v>59333.259</v>
      </c>
      <c r="F736" t="str">
        <f>""</f>
        <v/>
      </c>
      <c r="G736" t="str">
        <f>"0.004"</f>
        <v>0.004</v>
      </c>
      <c r="H736" t="str">
        <f>""</f>
        <v/>
      </c>
      <c r="I736" t="str">
        <f t="shared" si="83"/>
        <v xml:space="preserve">                                                     </v>
      </c>
      <c r="J736" t="str">
        <f>""</f>
        <v/>
      </c>
    </row>
    <row r="737" spans="1:10">
      <c r="A737" s="1" t="str">
        <f t="shared" si="85"/>
        <v>3d6.4s.(6D&lt;9/2&gt;).5g</v>
      </c>
      <c r="B737" t="str">
        <f>"2[7/2]"</f>
        <v>2[7/2]</v>
      </c>
      <c r="C737" t="str">
        <f>"3"</f>
        <v>3</v>
      </c>
      <c r="D737" t="str">
        <f>""</f>
        <v/>
      </c>
      <c r="E737" t="str">
        <f>"59333.261"</f>
        <v>59333.261</v>
      </c>
      <c r="F737" t="str">
        <f>""</f>
        <v/>
      </c>
      <c r="G737" t="str">
        <f>"0.004"</f>
        <v>0.004</v>
      </c>
      <c r="H737" t="str">
        <f>""</f>
        <v/>
      </c>
      <c r="I737" t="str">
        <f t="shared" ref="I737:I750" si="86">"                                                     "</f>
        <v xml:space="preserve">                                                     </v>
      </c>
      <c r="J737" t="str">
        <f>""</f>
        <v/>
      </c>
    </row>
    <row r="738" spans="1:10">
      <c r="A738" s="1" t="str">
        <f t="shared" si="85"/>
        <v>3d6.4s.(6D&lt;9/2&gt;).5g</v>
      </c>
      <c r="B738" t="str">
        <f>"2[5/2]"</f>
        <v>2[5/2]</v>
      </c>
      <c r="C738" t="str">
        <f>"3"</f>
        <v>3</v>
      </c>
      <c r="D738" t="str">
        <f>""</f>
        <v/>
      </c>
      <c r="E738" t="str">
        <f>"59335.320"</f>
        <v>59335.320</v>
      </c>
      <c r="F738" t="str">
        <f>""</f>
        <v/>
      </c>
      <c r="G738" t="str">
        <f>"0.003"</f>
        <v>0.003</v>
      </c>
      <c r="H738" t="str">
        <f>""</f>
        <v/>
      </c>
      <c r="I738" t="str">
        <f t="shared" si="86"/>
        <v xml:space="preserve">                                                     </v>
      </c>
      <c r="J738" t="str">
        <f>""</f>
        <v/>
      </c>
    </row>
    <row r="739" spans="1:10">
      <c r="A739" s="1" t="str">
        <f t="shared" si="85"/>
        <v>3d6.4s.(6D&lt;9/2&gt;).5g</v>
      </c>
      <c r="B739" t="str">
        <f>"2[5/2]"</f>
        <v>2[5/2]</v>
      </c>
      <c r="C739" t="str">
        <f>"2"</f>
        <v>2</v>
      </c>
      <c r="D739" t="str">
        <f>""</f>
        <v/>
      </c>
      <c r="E739" t="str">
        <f>"59335.321"</f>
        <v>59335.321</v>
      </c>
      <c r="F739" t="str">
        <f>""</f>
        <v/>
      </c>
      <c r="G739" t="str">
        <f>"0.005"</f>
        <v>0.005</v>
      </c>
      <c r="H739" t="str">
        <f>""</f>
        <v/>
      </c>
      <c r="I739" t="str">
        <f t="shared" si="86"/>
        <v xml:space="preserve">                                                     </v>
      </c>
      <c r="J739" t="str">
        <f>""</f>
        <v/>
      </c>
    </row>
    <row r="740" spans="1:10">
      <c r="A740" s="1" t="str">
        <f t="shared" si="85"/>
        <v>3d6.4s.(6D&lt;9/2&gt;).5g</v>
      </c>
      <c r="B740" t="str">
        <f>"2[17/2]"</f>
        <v>2[17/2]</v>
      </c>
      <c r="C740" t="str">
        <f>"8"</f>
        <v>8</v>
      </c>
      <c r="D740" t="str">
        <f>""</f>
        <v/>
      </c>
      <c r="E740" t="str">
        <f>"59335.72"</f>
        <v>59335.72</v>
      </c>
      <c r="F740" t="str">
        <f>""</f>
        <v/>
      </c>
      <c r="G740" t="str">
        <f>"0.02"</f>
        <v>0.02</v>
      </c>
      <c r="H740" t="str">
        <f>""</f>
        <v/>
      </c>
      <c r="I740" t="str">
        <f t="shared" si="86"/>
        <v xml:space="preserve">                                                     </v>
      </c>
      <c r="J740" t="str">
        <f>""</f>
        <v/>
      </c>
    </row>
    <row r="741" spans="1:10">
      <c r="A741" s="1" t="str">
        <f t="shared" si="85"/>
        <v>3d6.4s.(6D&lt;9/2&gt;).5g</v>
      </c>
      <c r="B741" t="str">
        <f>"2[17/2]"</f>
        <v>2[17/2]</v>
      </c>
      <c r="C741" t="str">
        <f>"9"</f>
        <v>9</v>
      </c>
      <c r="D741" t="str">
        <f>""</f>
        <v/>
      </c>
      <c r="E741" t="str">
        <f>"59335.73"</f>
        <v>59335.73</v>
      </c>
      <c r="F741" t="str">
        <f>""</f>
        <v/>
      </c>
      <c r="G741" t="str">
        <f>"0.02"</f>
        <v>0.02</v>
      </c>
      <c r="H741" t="str">
        <f>""</f>
        <v/>
      </c>
      <c r="I741" t="str">
        <f t="shared" si="86"/>
        <v xml:space="preserve">                                                     </v>
      </c>
      <c r="J741" t="str">
        <f>""</f>
        <v/>
      </c>
    </row>
    <row r="742" spans="1:10">
      <c r="A742" s="1" t="str">
        <f t="shared" si="85"/>
        <v>3d6.4s.(6D&lt;9/2&gt;).5g</v>
      </c>
      <c r="B742" t="str">
        <f>"2[3/2]"</f>
        <v>2[3/2]</v>
      </c>
      <c r="C742" t="str">
        <f>"1"</f>
        <v>1</v>
      </c>
      <c r="D742" t="str">
        <f>""</f>
        <v/>
      </c>
      <c r="E742" t="str">
        <f>"59337.082"</f>
        <v>59337.082</v>
      </c>
      <c r="F742" t="str">
        <f>""</f>
        <v/>
      </c>
      <c r="G742" t="str">
        <f>"0.005"</f>
        <v>0.005</v>
      </c>
      <c r="H742" t="str">
        <f>""</f>
        <v/>
      </c>
      <c r="I742" t="str">
        <f t="shared" si="86"/>
        <v xml:space="preserve">                                                     </v>
      </c>
      <c r="J742" t="str">
        <f>""</f>
        <v/>
      </c>
    </row>
    <row r="743" spans="1:10">
      <c r="A743" s="1" t="str">
        <f t="shared" si="85"/>
        <v>3d6.4s.(6D&lt;9/2&gt;).5g</v>
      </c>
      <c r="B743" t="str">
        <f>"2[3/2]"</f>
        <v>2[3/2]</v>
      </c>
      <c r="C743" t="str">
        <f>"2"</f>
        <v>2</v>
      </c>
      <c r="D743" t="str">
        <f>""</f>
        <v/>
      </c>
      <c r="E743" t="str">
        <f>"59337.085"</f>
        <v>59337.085</v>
      </c>
      <c r="F743" t="str">
        <f>""</f>
        <v/>
      </c>
      <c r="G743" t="str">
        <f>"0.005"</f>
        <v>0.005</v>
      </c>
      <c r="H743" t="str">
        <f>""</f>
        <v/>
      </c>
      <c r="I743" t="str">
        <f t="shared" si="86"/>
        <v xml:space="preserve">                                                     </v>
      </c>
      <c r="J743" t="str">
        <f>""</f>
        <v/>
      </c>
    </row>
    <row r="744" spans="1:10">
      <c r="A744" s="1" t="str">
        <f t="shared" si="85"/>
        <v>3d6.4s.(6D&lt;9/2&gt;).5g</v>
      </c>
      <c r="B744" t="str">
        <f>"2[1/2]"</f>
        <v>2[1/2]</v>
      </c>
      <c r="C744" t="str">
        <f>"1"</f>
        <v>1</v>
      </c>
      <c r="D744" t="str">
        <f>""</f>
        <v/>
      </c>
      <c r="E744" t="str">
        <f>"59338.259"</f>
        <v>59338.259</v>
      </c>
      <c r="F744" t="str">
        <f>""</f>
        <v/>
      </c>
      <c r="G744" t="str">
        <f>"0.007"</f>
        <v>0.007</v>
      </c>
      <c r="H744" t="str">
        <f>""</f>
        <v/>
      </c>
      <c r="I744" t="str">
        <f t="shared" si="86"/>
        <v xml:space="preserve">                                                     </v>
      </c>
      <c r="J744" t="str">
        <f>""</f>
        <v/>
      </c>
    </row>
    <row r="745" spans="1:10">
      <c r="A745" s="1" t="str">
        <f t="shared" si="85"/>
        <v>3d6.4s.(6D&lt;9/2&gt;).5g</v>
      </c>
      <c r="B745" t="str">
        <f>"2[1/2]"</f>
        <v>2[1/2]</v>
      </c>
      <c r="C745" t="str">
        <f>"0"</f>
        <v>0</v>
      </c>
      <c r="D745" t="str">
        <f>""</f>
        <v/>
      </c>
      <c r="E745" t="str">
        <f>"59338.274"</f>
        <v>59338.274</v>
      </c>
      <c r="F745" t="str">
        <f>""</f>
        <v/>
      </c>
      <c r="G745" t="str">
        <f>"0.015"</f>
        <v>0.015</v>
      </c>
      <c r="H745" t="str">
        <f>""</f>
        <v/>
      </c>
      <c r="I745" t="str">
        <f t="shared" si="86"/>
        <v xml:space="preserve">                                                     </v>
      </c>
      <c r="J745" t="str">
        <f>""</f>
        <v/>
      </c>
    </row>
    <row r="746" spans="1:10">
      <c r="A746" s="1" t="str">
        <f>""</f>
        <v/>
      </c>
      <c r="B746" t="str">
        <f>"59390e"</f>
        <v>59390e</v>
      </c>
      <c r="C746" t="str">
        <f>"3"</f>
        <v>3</v>
      </c>
      <c r="D746" t="str">
        <f>""</f>
        <v/>
      </c>
      <c r="E746" t="str">
        <f>"59390.684"</f>
        <v>59390.684</v>
      </c>
      <c r="F746" t="str">
        <f>""</f>
        <v/>
      </c>
      <c r="G746" t="str">
        <f>"0.007"</f>
        <v>0.007</v>
      </c>
      <c r="H746" t="str">
        <f>""</f>
        <v/>
      </c>
      <c r="I746" t="str">
        <f t="shared" si="86"/>
        <v xml:space="preserve">                                                     </v>
      </c>
      <c r="J746" t="str">
        <f>""</f>
        <v/>
      </c>
    </row>
    <row r="747" spans="1:10">
      <c r="A747" s="1" t="str">
        <f>"3d6.4s.(6D&lt;7/2&gt;).6d"</f>
        <v>3d6.4s.(6D&lt;7/2&gt;).6d</v>
      </c>
      <c r="B747" t="str">
        <f>"2[9/2]"</f>
        <v>2[9/2]</v>
      </c>
      <c r="C747" t="str">
        <f>"5"</f>
        <v>5</v>
      </c>
      <c r="D747" t="str">
        <f>""</f>
        <v/>
      </c>
      <c r="E747" t="str">
        <f>"59463.514"</f>
        <v>59463.514</v>
      </c>
      <c r="F747" t="str">
        <f>""</f>
        <v/>
      </c>
      <c r="G747" t="str">
        <f>"0.013"</f>
        <v>0.013</v>
      </c>
      <c r="H747" t="str">
        <f>""</f>
        <v/>
      </c>
      <c r="I747" t="str">
        <f t="shared" si="86"/>
        <v xml:space="preserve">                                                     </v>
      </c>
      <c r="J747" t="str">
        <f>""</f>
        <v/>
      </c>
    </row>
    <row r="748" spans="1:10">
      <c r="A748" s="1" t="str">
        <f>"3d6.4s.(6D&lt;7/2&gt;).6d"</f>
        <v>3d6.4s.(6D&lt;7/2&gt;).6d</v>
      </c>
      <c r="B748" t="str">
        <f>"2[9/2]"</f>
        <v>2[9/2]</v>
      </c>
      <c r="C748" t="str">
        <f>"4"</f>
        <v>4</v>
      </c>
      <c r="D748" t="str">
        <f>""</f>
        <v/>
      </c>
      <c r="E748" t="str">
        <f>"59532.84"</f>
        <v>59532.84</v>
      </c>
      <c r="F748" t="str">
        <f>""</f>
        <v/>
      </c>
      <c r="G748" t="str">
        <f>"0.03"</f>
        <v>0.03</v>
      </c>
      <c r="H748" t="str">
        <f>""</f>
        <v/>
      </c>
      <c r="I748" t="str">
        <f t="shared" si="86"/>
        <v xml:space="preserve">                                                     </v>
      </c>
      <c r="J748" t="str">
        <f>""</f>
        <v/>
      </c>
    </row>
    <row r="749" spans="1:10">
      <c r="A749" s="1" t="str">
        <f>"3d6.4s.(6D&lt;7/2&gt;).6d"</f>
        <v>3d6.4s.(6D&lt;7/2&gt;).6d</v>
      </c>
      <c r="B749" t="str">
        <f>"2[7/2]"</f>
        <v>2[7/2]</v>
      </c>
      <c r="C749" t="str">
        <f>"4"</f>
        <v>4</v>
      </c>
      <c r="D749" t="str">
        <f>""</f>
        <v/>
      </c>
      <c r="E749" t="str">
        <f>"59475.63"</f>
        <v>59475.63</v>
      </c>
      <c r="F749" t="str">
        <f>""</f>
        <v/>
      </c>
      <c r="G749" t="str">
        <f>"0.03"</f>
        <v>0.03</v>
      </c>
      <c r="H749" t="str">
        <f>""</f>
        <v/>
      </c>
      <c r="I749" t="str">
        <f t="shared" si="86"/>
        <v xml:space="preserve">                                                     </v>
      </c>
      <c r="J749" t="str">
        <f>""</f>
        <v/>
      </c>
    </row>
    <row r="750" spans="1:10">
      <c r="A750" s="1" t="str">
        <f>"3d6.4s.(6D&lt;7/2&gt;).6d"</f>
        <v>3d6.4s.(6D&lt;7/2&gt;).6d</v>
      </c>
      <c r="B750" t="str">
        <f>"2[7/2]"</f>
        <v>2[7/2]</v>
      </c>
      <c r="C750" t="str">
        <f>"3"</f>
        <v>3</v>
      </c>
      <c r="D750" t="str">
        <f>""</f>
        <v/>
      </c>
      <c r="E750" t="str">
        <f>"59520.304"</f>
        <v>59520.304</v>
      </c>
      <c r="F750" t="str">
        <f>""</f>
        <v/>
      </c>
      <c r="G750" t="str">
        <f>"0.011"</f>
        <v>0.011</v>
      </c>
      <c r="H750" t="str">
        <f>""</f>
        <v/>
      </c>
      <c r="I750" t="str">
        <f t="shared" si="86"/>
        <v xml:space="preserve">                                                     </v>
      </c>
      <c r="J750" t="str">
        <f>""</f>
        <v/>
      </c>
    </row>
    <row r="751" spans="1:10">
      <c r="A751" s="1" t="str">
        <f>"3d6.(3P2).4s.4p.(1P*)"</f>
        <v>3d6.(3P2).4s.4p.(1P*)</v>
      </c>
      <c r="B751" t="str">
        <f>"3S*"</f>
        <v>3S*</v>
      </c>
      <c r="C751" t="str">
        <f>"1"</f>
        <v>1</v>
      </c>
      <c r="D751" t="str">
        <f>""</f>
        <v/>
      </c>
      <c r="E751" t="str">
        <f>"59500.628"</f>
        <v>59500.628</v>
      </c>
      <c r="F751" t="str">
        <f>""</f>
        <v/>
      </c>
      <c r="G751" t="str">
        <f>"0.003"</f>
        <v>0.003</v>
      </c>
      <c r="H751" t="str">
        <f>""</f>
        <v/>
      </c>
      <c r="I751" t="str">
        <f>"  71             :    19  3d7.(2P).4s           3S*  "</f>
        <v xml:space="preserve">  71             :    19  3d7.(2P).4s           3S*  </v>
      </c>
      <c r="J751" t="str">
        <f>""</f>
        <v/>
      </c>
    </row>
    <row r="752" spans="1:10">
      <c r="A752" s="1" t="str">
        <f>"3d6.4s.(6D&lt;7/2&gt;).6d"</f>
        <v>3d6.4s.(6D&lt;7/2&gt;).6d</v>
      </c>
      <c r="B752" t="str">
        <f>"2[5/2]"</f>
        <v>2[5/2]</v>
      </c>
      <c r="C752" t="str">
        <f>"2"</f>
        <v>2</v>
      </c>
      <c r="D752" t="str">
        <f>""</f>
        <v/>
      </c>
      <c r="E752" t="str">
        <f>"59514.13"</f>
        <v>59514.13</v>
      </c>
      <c r="F752" t="str">
        <f>""</f>
        <v/>
      </c>
      <c r="G752" t="str">
        <f>"0.03"</f>
        <v>0.03</v>
      </c>
      <c r="H752" t="str">
        <f>""</f>
        <v/>
      </c>
      <c r="I752" t="str">
        <f t="shared" ref="I752:I783" si="87">"                                                     "</f>
        <v xml:space="preserve">                                                     </v>
      </c>
      <c r="J752" t="str">
        <f>""</f>
        <v/>
      </c>
    </row>
    <row r="753" spans="1:10">
      <c r="A753" s="1" t="str">
        <f>"3d6.4s.(6D&lt;7/2&gt;).6d"</f>
        <v>3d6.4s.(6D&lt;7/2&gt;).6d</v>
      </c>
      <c r="B753" t="str">
        <f>"2[5/2]"</f>
        <v>2[5/2]</v>
      </c>
      <c r="C753" t="str">
        <f>"3"</f>
        <v>3</v>
      </c>
      <c r="D753" t="str">
        <f>""</f>
        <v/>
      </c>
      <c r="E753" t="str">
        <f>"59538.594"</f>
        <v>59538.594</v>
      </c>
      <c r="F753" t="str">
        <f>""</f>
        <v/>
      </c>
      <c r="G753" t="str">
        <f>"0.015"</f>
        <v>0.015</v>
      </c>
      <c r="H753" t="str">
        <f>""</f>
        <v/>
      </c>
      <c r="I753" t="str">
        <f t="shared" si="87"/>
        <v xml:space="preserve">                                                     </v>
      </c>
      <c r="J753" t="str">
        <f>""</f>
        <v/>
      </c>
    </row>
    <row r="754" spans="1:10">
      <c r="A754" s="1" t="str">
        <f>"3d6.(5D).4p2.(3P)"</f>
        <v>3d6.(5D).4p2.(3P)</v>
      </c>
      <c r="B754" t="str">
        <f>"7F"</f>
        <v>7F</v>
      </c>
      <c r="C754" t="str">
        <f>"5"</f>
        <v>5</v>
      </c>
      <c r="D754" t="str">
        <f>""</f>
        <v/>
      </c>
      <c r="E754" t="str">
        <f>"59523.88"</f>
        <v>59523.88</v>
      </c>
      <c r="F754" t="str">
        <f>""</f>
        <v/>
      </c>
      <c r="G754" t="str">
        <f>"0.05"</f>
        <v>0.05</v>
      </c>
      <c r="H754" t="str">
        <f>""</f>
        <v/>
      </c>
      <c r="I754" t="str">
        <f t="shared" si="87"/>
        <v xml:space="preserve">                                                     </v>
      </c>
      <c r="J754" t="str">
        <f>""</f>
        <v/>
      </c>
    </row>
    <row r="755" spans="1:10">
      <c r="A755" s="1" t="str">
        <f>"3d6.(5D).4p2.(3P)"</f>
        <v>3d6.(5D).4p2.(3P)</v>
      </c>
      <c r="B755" t="str">
        <f>"7F"</f>
        <v>7F</v>
      </c>
      <c r="C755" t="str">
        <f>"4"</f>
        <v>4</v>
      </c>
      <c r="D755" t="str">
        <f>""</f>
        <v/>
      </c>
      <c r="E755" t="str">
        <f>"59664.704"</f>
        <v>59664.704</v>
      </c>
      <c r="F755" t="str">
        <f>""</f>
        <v/>
      </c>
      <c r="G755" t="str">
        <f>"0.017"</f>
        <v>0.017</v>
      </c>
      <c r="H755" t="str">
        <f>""</f>
        <v/>
      </c>
      <c r="I755" t="str">
        <f t="shared" si="87"/>
        <v xml:space="preserve">                                                     </v>
      </c>
      <c r="J755" t="str">
        <f>""</f>
        <v/>
      </c>
    </row>
    <row r="756" spans="1:10">
      <c r="A756" s="1" t="str">
        <f>"3d6.(5D).4p2.(3P)"</f>
        <v>3d6.(5D).4p2.(3P)</v>
      </c>
      <c r="B756" t="str">
        <f>"7F"</f>
        <v>7F</v>
      </c>
      <c r="C756" t="str">
        <f>"2"</f>
        <v>2</v>
      </c>
      <c r="D756" t="str">
        <f>""</f>
        <v/>
      </c>
      <c r="E756" t="str">
        <f>"60533.113"</f>
        <v>60533.113</v>
      </c>
      <c r="F756" t="str">
        <f>""</f>
        <v/>
      </c>
      <c r="G756" t="str">
        <f>"0.01"</f>
        <v>0.01</v>
      </c>
      <c r="H756" t="str">
        <f>""</f>
        <v/>
      </c>
      <c r="I756" t="str">
        <f t="shared" si="87"/>
        <v xml:space="preserve">                                                     </v>
      </c>
      <c r="J756" t="str">
        <f>""</f>
        <v/>
      </c>
    </row>
    <row r="757" spans="1:10">
      <c r="A757" s="1" t="str">
        <f>"3d6.4s.(6D&lt;7/2&gt;).6d"</f>
        <v>3d6.4s.(6D&lt;7/2&gt;).6d</v>
      </c>
      <c r="B757" t="str">
        <f>"2[11/2]"</f>
        <v>2[11/2]</v>
      </c>
      <c r="C757" t="str">
        <f>"6"</f>
        <v>6</v>
      </c>
      <c r="D757" t="str">
        <f>""</f>
        <v/>
      </c>
      <c r="E757" t="str">
        <f>"59541.124"</f>
        <v>59541.124</v>
      </c>
      <c r="F757" t="str">
        <f>""</f>
        <v/>
      </c>
      <c r="G757" t="str">
        <f>"0.015"</f>
        <v>0.015</v>
      </c>
      <c r="H757" t="str">
        <f>""</f>
        <v/>
      </c>
      <c r="I757" t="str">
        <f t="shared" si="87"/>
        <v xml:space="preserve">                                                     </v>
      </c>
      <c r="J757" t="str">
        <f>""</f>
        <v/>
      </c>
    </row>
    <row r="758" spans="1:10">
      <c r="A758" s="1" t="str">
        <f>"3d6.4s.(6D&lt;7/2&gt;).6d"</f>
        <v>3d6.4s.(6D&lt;7/2&gt;).6d</v>
      </c>
      <c r="B758" t="str">
        <f>"2[11/2]"</f>
        <v>2[11/2]</v>
      </c>
      <c r="C758" t="str">
        <f>"5"</f>
        <v>5</v>
      </c>
      <c r="D758" t="str">
        <f>""</f>
        <v/>
      </c>
      <c r="E758" t="str">
        <f>"59556.32"</f>
        <v>59556.32</v>
      </c>
      <c r="F758" t="str">
        <f>""</f>
        <v/>
      </c>
      <c r="G758" t="str">
        <f>"0.03"</f>
        <v>0.03</v>
      </c>
      <c r="H758" t="str">
        <f>""</f>
        <v/>
      </c>
      <c r="I758" t="str">
        <f t="shared" si="87"/>
        <v xml:space="preserve">                                                     </v>
      </c>
      <c r="J758" t="str">
        <f>""</f>
        <v/>
      </c>
    </row>
    <row r="759" spans="1:10">
      <c r="A759" s="1" t="str">
        <f>"3d6.4s.(6D&lt;7/2&gt;).6d"</f>
        <v>3d6.4s.(6D&lt;7/2&gt;).6d</v>
      </c>
      <c r="B759" t="str">
        <f>"2[3/2]"</f>
        <v>2[3/2]</v>
      </c>
      <c r="C759" t="str">
        <f>"2"</f>
        <v>2</v>
      </c>
      <c r="D759" t="str">
        <f>""</f>
        <v/>
      </c>
      <c r="E759" t="str">
        <f>"59569.374"</f>
        <v>59569.374</v>
      </c>
      <c r="F759" t="str">
        <f>""</f>
        <v/>
      </c>
      <c r="G759" t="str">
        <f>"0.018"</f>
        <v>0.018</v>
      </c>
      <c r="H759" t="str">
        <f>""</f>
        <v/>
      </c>
      <c r="I759" t="str">
        <f t="shared" si="87"/>
        <v xml:space="preserve">                                                     </v>
      </c>
      <c r="J759" t="str">
        <f>""</f>
        <v/>
      </c>
    </row>
    <row r="760" spans="1:10">
      <c r="A760" s="1" t="str">
        <f>"3d6.4s.(6D&lt;7/2&gt;).6d"</f>
        <v>3d6.4s.(6D&lt;7/2&gt;).6d</v>
      </c>
      <c r="B760" t="str">
        <f>"2[3/2]"</f>
        <v>2[3/2]</v>
      </c>
      <c r="C760" t="str">
        <f>"1"</f>
        <v>1</v>
      </c>
      <c r="D760" t="str">
        <f>""</f>
        <v/>
      </c>
      <c r="E760" t="str">
        <f>"59590.85"</f>
        <v>59590.85</v>
      </c>
      <c r="F760" t="str">
        <f>""</f>
        <v/>
      </c>
      <c r="G760" t="str">
        <f>"0.04"</f>
        <v>0.04</v>
      </c>
      <c r="H760" t="str">
        <f>""</f>
        <v/>
      </c>
      <c r="I760" t="str">
        <f t="shared" si="87"/>
        <v xml:space="preserve">                                                     </v>
      </c>
      <c r="J760" t="str">
        <f>""</f>
        <v/>
      </c>
    </row>
    <row r="761" spans="1:10">
      <c r="A761" s="1" t="str">
        <f>"3d6.4s.(6D&lt;7/2&gt;).5f"</f>
        <v>3d6.4s.(6D&lt;7/2&gt;).5f</v>
      </c>
      <c r="B761" t="str">
        <f>"2[11/2]*"</f>
        <v>2[11/2]*</v>
      </c>
      <c r="C761" t="str">
        <f>"5"</f>
        <v>5</v>
      </c>
      <c r="D761" t="str">
        <f>""</f>
        <v/>
      </c>
      <c r="E761" t="str">
        <f>"59663.964"</f>
        <v>59663.964</v>
      </c>
      <c r="F761" t="str">
        <f>""</f>
        <v/>
      </c>
      <c r="G761" t="str">
        <f>"0.003"</f>
        <v>0.003</v>
      </c>
      <c r="H761" t="str">
        <f>""</f>
        <v/>
      </c>
      <c r="I761" t="str">
        <f t="shared" si="87"/>
        <v xml:space="preserve">                                                     </v>
      </c>
      <c r="J761" t="str">
        <f>""</f>
        <v/>
      </c>
    </row>
    <row r="762" spans="1:10">
      <c r="A762" s="1" t="str">
        <f>"3d6.4s.(6D&lt;7/2&gt;).5f"</f>
        <v>3d6.4s.(6D&lt;7/2&gt;).5f</v>
      </c>
      <c r="B762" t="str">
        <f>"2[13/2]*"</f>
        <v>2[13/2]*</v>
      </c>
      <c r="C762" t="str">
        <f>"7"</f>
        <v>7</v>
      </c>
      <c r="D762" t="str">
        <f>""</f>
        <v/>
      </c>
      <c r="E762" t="str">
        <f>"59669.004"</f>
        <v>59669.004</v>
      </c>
      <c r="F762" t="str">
        <f>""</f>
        <v/>
      </c>
      <c r="G762" t="str">
        <f>"0.003"</f>
        <v>0.003</v>
      </c>
      <c r="H762" t="str">
        <f>""</f>
        <v/>
      </c>
      <c r="I762" t="str">
        <f t="shared" si="87"/>
        <v xml:space="preserve">                                                     </v>
      </c>
      <c r="J762" t="str">
        <f>""</f>
        <v/>
      </c>
    </row>
    <row r="763" spans="1:10">
      <c r="A763" s="1" t="str">
        <f>"3d6.4s.(6D&lt;7/2&gt;).5f"</f>
        <v>3d6.4s.(6D&lt;7/2&gt;).5f</v>
      </c>
      <c r="B763" t="str">
        <f>"2[13/2]*"</f>
        <v>2[13/2]*</v>
      </c>
      <c r="C763" t="str">
        <f>"6"</f>
        <v>6</v>
      </c>
      <c r="D763" t="str">
        <f>""</f>
        <v/>
      </c>
      <c r="E763" t="str">
        <f>"59670.084"</f>
        <v>59670.084</v>
      </c>
      <c r="F763" t="str">
        <f>""</f>
        <v/>
      </c>
      <c r="G763" t="str">
        <f>"0.009"</f>
        <v>0.009</v>
      </c>
      <c r="H763" t="str">
        <f>""</f>
        <v/>
      </c>
      <c r="I763" t="str">
        <f t="shared" si="87"/>
        <v xml:space="preserve">                                                     </v>
      </c>
      <c r="J763" t="str">
        <f>""</f>
        <v/>
      </c>
    </row>
    <row r="764" spans="1:10">
      <c r="A764" s="1" t="str">
        <f t="shared" ref="A764:A771" si="88">"3d7.(4F&lt;5/2&gt;).4f"</f>
        <v>3d7.(4F&lt;5/2&gt;).4f</v>
      </c>
      <c r="B764" t="str">
        <f>"2[7/2]*"</f>
        <v>2[7/2]*</v>
      </c>
      <c r="C764" t="str">
        <f>"4"</f>
        <v>4</v>
      </c>
      <c r="D764" t="str">
        <f>""</f>
        <v/>
      </c>
      <c r="E764" t="str">
        <f>"59671.467"</f>
        <v>59671.467</v>
      </c>
      <c r="F764" t="str">
        <f>""</f>
        <v/>
      </c>
      <c r="G764" t="str">
        <f>"0.002"</f>
        <v>0.002</v>
      </c>
      <c r="H764" t="str">
        <f>""</f>
        <v/>
      </c>
      <c r="I764" t="str">
        <f t="shared" si="87"/>
        <v xml:space="preserve">                                                     </v>
      </c>
      <c r="J764" t="str">
        <f>""</f>
        <v/>
      </c>
    </row>
    <row r="765" spans="1:10">
      <c r="A765" s="1" t="str">
        <f t="shared" si="88"/>
        <v>3d7.(4F&lt;5/2&gt;).4f</v>
      </c>
      <c r="B765" t="str">
        <f>"2[7/2]*"</f>
        <v>2[7/2]*</v>
      </c>
      <c r="C765" t="str">
        <f>"3"</f>
        <v>3</v>
      </c>
      <c r="D765" t="str">
        <f>""</f>
        <v/>
      </c>
      <c r="E765" t="str">
        <f>"59671.962"</f>
        <v>59671.962</v>
      </c>
      <c r="F765" t="str">
        <f>""</f>
        <v/>
      </c>
      <c r="G765" t="str">
        <f>"0.005"</f>
        <v>0.005</v>
      </c>
      <c r="H765" t="str">
        <f>""</f>
        <v/>
      </c>
      <c r="I765" t="str">
        <f t="shared" si="87"/>
        <v xml:space="preserve">                                                     </v>
      </c>
      <c r="J765" t="str">
        <f>""</f>
        <v/>
      </c>
    </row>
    <row r="766" spans="1:10">
      <c r="A766" s="1" t="str">
        <f t="shared" si="88"/>
        <v>3d7.(4F&lt;5/2&gt;).4f</v>
      </c>
      <c r="B766" t="str">
        <f>"2[9/2]*"</f>
        <v>2[9/2]*</v>
      </c>
      <c r="C766" t="str">
        <f>"5"</f>
        <v>5</v>
      </c>
      <c r="D766" t="str">
        <f>""</f>
        <v/>
      </c>
      <c r="E766" t="str">
        <f>"59671.600"</f>
        <v>59671.600</v>
      </c>
      <c r="F766" t="str">
        <f>""</f>
        <v/>
      </c>
      <c r="G766" t="str">
        <f>"0.003"</f>
        <v>0.003</v>
      </c>
      <c r="H766" t="str">
        <f>""</f>
        <v/>
      </c>
      <c r="I766" t="str">
        <f t="shared" si="87"/>
        <v xml:space="preserve">                                                     </v>
      </c>
      <c r="J766" t="str">
        <f>""</f>
        <v/>
      </c>
    </row>
    <row r="767" spans="1:10">
      <c r="A767" s="1" t="str">
        <f t="shared" si="88"/>
        <v>3d7.(4F&lt;5/2&gt;).4f</v>
      </c>
      <c r="B767" t="str">
        <f>"2[9/2]*"</f>
        <v>2[9/2]*</v>
      </c>
      <c r="C767" t="str">
        <f>"4"</f>
        <v>4</v>
      </c>
      <c r="D767" t="str">
        <f>""</f>
        <v/>
      </c>
      <c r="E767" t="str">
        <f>"59673.113"</f>
        <v>59673.113</v>
      </c>
      <c r="F767" t="str">
        <f>""</f>
        <v/>
      </c>
      <c r="G767" t="str">
        <f>"0.003"</f>
        <v>0.003</v>
      </c>
      <c r="H767" t="str">
        <f>""</f>
        <v/>
      </c>
      <c r="I767" t="str">
        <f t="shared" si="87"/>
        <v xml:space="preserve">                                                     </v>
      </c>
      <c r="J767" t="str">
        <f>""</f>
        <v/>
      </c>
    </row>
    <row r="768" spans="1:10">
      <c r="A768" s="1" t="str">
        <f t="shared" si="88"/>
        <v>3d7.(4F&lt;5/2&gt;).4f</v>
      </c>
      <c r="B768" t="str">
        <f>"2[5/2]*"</f>
        <v>2[5/2]*</v>
      </c>
      <c r="C768" t="str">
        <f>"3"</f>
        <v>3</v>
      </c>
      <c r="D768" t="str">
        <f>""</f>
        <v/>
      </c>
      <c r="E768" t="str">
        <f>"59679.235"</f>
        <v>59679.235</v>
      </c>
      <c r="F768" t="str">
        <f>""</f>
        <v/>
      </c>
      <c r="G768" t="str">
        <f>"0.002"</f>
        <v>0.002</v>
      </c>
      <c r="H768" t="str">
        <f>""</f>
        <v/>
      </c>
      <c r="I768" t="str">
        <f t="shared" si="87"/>
        <v xml:space="preserve">                                                     </v>
      </c>
      <c r="J768" t="str">
        <f>""</f>
        <v/>
      </c>
    </row>
    <row r="769" spans="1:10">
      <c r="A769" s="1" t="str">
        <f t="shared" si="88"/>
        <v>3d7.(4F&lt;5/2&gt;).4f</v>
      </c>
      <c r="B769" t="str">
        <f>"2[5/2]*"</f>
        <v>2[5/2]*</v>
      </c>
      <c r="C769" t="str">
        <f>"2"</f>
        <v>2</v>
      </c>
      <c r="D769" t="str">
        <f>""</f>
        <v/>
      </c>
      <c r="E769" t="str">
        <f>"59680.306"</f>
        <v>59680.306</v>
      </c>
      <c r="F769" t="str">
        <f>""</f>
        <v/>
      </c>
      <c r="G769" t="str">
        <f>"0.005"</f>
        <v>0.005</v>
      </c>
      <c r="H769" t="str">
        <f>""</f>
        <v/>
      </c>
      <c r="I769" t="str">
        <f t="shared" si="87"/>
        <v xml:space="preserve">                                                     </v>
      </c>
      <c r="J769" t="str">
        <f>""</f>
        <v/>
      </c>
    </row>
    <row r="770" spans="1:10">
      <c r="A770" s="1" t="str">
        <f t="shared" si="88"/>
        <v>3d7.(4F&lt;5/2&gt;).4f</v>
      </c>
      <c r="B770" t="str">
        <f>"2[11/2]*"</f>
        <v>2[11/2]*</v>
      </c>
      <c r="C770" t="str">
        <f>"5"</f>
        <v>5</v>
      </c>
      <c r="D770" t="str">
        <f>""</f>
        <v/>
      </c>
      <c r="E770" t="str">
        <f>"59682.173"</f>
        <v>59682.173</v>
      </c>
      <c r="F770" t="str">
        <f>""</f>
        <v/>
      </c>
      <c r="G770" t="str">
        <f>"0.004"</f>
        <v>0.004</v>
      </c>
      <c r="H770" t="str">
        <f>""</f>
        <v/>
      </c>
      <c r="I770" t="str">
        <f t="shared" si="87"/>
        <v xml:space="preserve">                                                     </v>
      </c>
      <c r="J770" t="str">
        <f>""</f>
        <v/>
      </c>
    </row>
    <row r="771" spans="1:10">
      <c r="A771" s="1" t="str">
        <f t="shared" si="88"/>
        <v>3d7.(4F&lt;5/2&gt;).4f</v>
      </c>
      <c r="B771" t="str">
        <f>"2[3/2]*"</f>
        <v>2[3/2]*</v>
      </c>
      <c r="C771" t="str">
        <f>"2"</f>
        <v>2</v>
      </c>
      <c r="D771" t="str">
        <f>""</f>
        <v/>
      </c>
      <c r="E771" t="str">
        <f>"59687.418"</f>
        <v>59687.418</v>
      </c>
      <c r="F771" t="str">
        <f>""</f>
        <v/>
      </c>
      <c r="G771" t="str">
        <f>"0.002"</f>
        <v>0.002</v>
      </c>
      <c r="H771" t="str">
        <f>""</f>
        <v/>
      </c>
      <c r="I771" t="str">
        <f t="shared" si="87"/>
        <v xml:space="preserve">                                                     </v>
      </c>
      <c r="J771" t="str">
        <f>""</f>
        <v/>
      </c>
    </row>
    <row r="772" spans="1:10">
      <c r="A772" s="1" t="str">
        <f t="shared" ref="A772:A785" si="89">"3d6.4s.(6D&lt;7/2&gt;).5g"</f>
        <v>3d6.4s.(6D&lt;7/2&gt;).5g</v>
      </c>
      <c r="B772" t="str">
        <f>"2[11/2]"</f>
        <v>2[11/2]</v>
      </c>
      <c r="C772" t="str">
        <f>"5"</f>
        <v>5</v>
      </c>
      <c r="D772" t="str">
        <f>""</f>
        <v/>
      </c>
      <c r="E772" t="str">
        <f>"59716.796"</f>
        <v>59716.796</v>
      </c>
      <c r="F772" t="str">
        <f>""</f>
        <v/>
      </c>
      <c r="G772" t="str">
        <f>"0.003"</f>
        <v>0.003</v>
      </c>
      <c r="H772" t="str">
        <f>""</f>
        <v/>
      </c>
      <c r="I772" t="str">
        <f t="shared" si="87"/>
        <v xml:space="preserve">                                                     </v>
      </c>
      <c r="J772" t="str">
        <f>""</f>
        <v/>
      </c>
    </row>
    <row r="773" spans="1:10">
      <c r="A773" s="1" t="str">
        <f t="shared" si="89"/>
        <v>3d6.4s.(6D&lt;7/2&gt;).5g</v>
      </c>
      <c r="B773" t="str">
        <f>"2[11/2]"</f>
        <v>2[11/2]</v>
      </c>
      <c r="C773" t="str">
        <f>"6"</f>
        <v>6</v>
      </c>
      <c r="D773" t="str">
        <f>""</f>
        <v/>
      </c>
      <c r="E773" t="str">
        <f>"59716.797"</f>
        <v>59716.797</v>
      </c>
      <c r="F773" t="str">
        <f>""</f>
        <v/>
      </c>
      <c r="G773" t="str">
        <f>"0.004"</f>
        <v>0.004</v>
      </c>
      <c r="H773" t="str">
        <f>""</f>
        <v/>
      </c>
      <c r="I773" t="str">
        <f t="shared" si="87"/>
        <v xml:space="preserve">                                                     </v>
      </c>
      <c r="J773" t="str">
        <f>""</f>
        <v/>
      </c>
    </row>
    <row r="774" spans="1:10">
      <c r="A774" s="1" t="str">
        <f t="shared" si="89"/>
        <v>3d6.4s.(6D&lt;7/2&gt;).5g</v>
      </c>
      <c r="B774" t="str">
        <f>"2[9/2]"</f>
        <v>2[9/2]</v>
      </c>
      <c r="C774" t="str">
        <f>"5"</f>
        <v>5</v>
      </c>
      <c r="D774" t="str">
        <f>""</f>
        <v/>
      </c>
      <c r="E774" t="str">
        <f>"59716.940"</f>
        <v>59716.940</v>
      </c>
      <c r="F774" t="str">
        <f>""</f>
        <v/>
      </c>
      <c r="G774" t="str">
        <f>"0.004"</f>
        <v>0.004</v>
      </c>
      <c r="H774" t="str">
        <f>""</f>
        <v/>
      </c>
      <c r="I774" t="str">
        <f t="shared" si="87"/>
        <v xml:space="preserve">                                                     </v>
      </c>
      <c r="J774" t="str">
        <f>""</f>
        <v/>
      </c>
    </row>
    <row r="775" spans="1:10">
      <c r="A775" s="1" t="str">
        <f t="shared" si="89"/>
        <v>3d6.4s.(6D&lt;7/2&gt;).5g</v>
      </c>
      <c r="B775" t="str">
        <f>"2[9/2]"</f>
        <v>2[9/2]</v>
      </c>
      <c r="C775" t="str">
        <f>"4"</f>
        <v>4</v>
      </c>
      <c r="D775" t="str">
        <f>""</f>
        <v/>
      </c>
      <c r="E775" t="str">
        <f>"59716.948"</f>
        <v>59716.948</v>
      </c>
      <c r="F775" t="str">
        <f>""</f>
        <v/>
      </c>
      <c r="G775" t="str">
        <f>"0.004"</f>
        <v>0.004</v>
      </c>
      <c r="H775" t="str">
        <f>""</f>
        <v/>
      </c>
      <c r="I775" t="str">
        <f t="shared" si="87"/>
        <v xml:space="preserve">                                                     </v>
      </c>
      <c r="J775" t="str">
        <f>""</f>
        <v/>
      </c>
    </row>
    <row r="776" spans="1:10">
      <c r="A776" s="1" t="str">
        <f t="shared" si="89"/>
        <v>3d6.4s.(6D&lt;7/2&gt;).5g</v>
      </c>
      <c r="B776" t="str">
        <f>"2[13/2]"</f>
        <v>2[13/2]</v>
      </c>
      <c r="C776" t="str">
        <f>"6"</f>
        <v>6</v>
      </c>
      <c r="D776" t="str">
        <f>""</f>
        <v/>
      </c>
      <c r="E776" t="str">
        <f>"59717.083"</f>
        <v>59717.083</v>
      </c>
      <c r="F776" t="str">
        <f>""</f>
        <v/>
      </c>
      <c r="G776" t="str">
        <f>"0.004"</f>
        <v>0.004</v>
      </c>
      <c r="H776" t="str">
        <f>""</f>
        <v/>
      </c>
      <c r="I776" t="str">
        <f t="shared" si="87"/>
        <v xml:space="preserve">                                                     </v>
      </c>
      <c r="J776" t="str">
        <f>""</f>
        <v/>
      </c>
    </row>
    <row r="777" spans="1:10">
      <c r="A777" s="1" t="str">
        <f t="shared" si="89"/>
        <v>3d6.4s.(6D&lt;7/2&gt;).5g</v>
      </c>
      <c r="B777" t="str">
        <f>"2[13/2]"</f>
        <v>2[13/2]</v>
      </c>
      <c r="C777" t="str">
        <f>"7"</f>
        <v>7</v>
      </c>
      <c r="D777" t="str">
        <f>""</f>
        <v/>
      </c>
      <c r="E777" t="str">
        <f>"59717.088"</f>
        <v>59717.088</v>
      </c>
      <c r="F777" t="str">
        <f>""</f>
        <v/>
      </c>
      <c r="G777" t="str">
        <f>"0.005"</f>
        <v>0.005</v>
      </c>
      <c r="H777" t="str">
        <f>""</f>
        <v/>
      </c>
      <c r="I777" t="str">
        <f t="shared" si="87"/>
        <v xml:space="preserve">                                                     </v>
      </c>
      <c r="J777" t="str">
        <f>""</f>
        <v/>
      </c>
    </row>
    <row r="778" spans="1:10">
      <c r="A778" s="1" t="str">
        <f t="shared" si="89"/>
        <v>3d6.4s.(6D&lt;7/2&gt;).5g</v>
      </c>
      <c r="B778" t="str">
        <f>"2[7/2]"</f>
        <v>2[7/2]</v>
      </c>
      <c r="C778" t="str">
        <f>"3"</f>
        <v>3</v>
      </c>
      <c r="D778" t="str">
        <f>""</f>
        <v/>
      </c>
      <c r="E778" t="str">
        <f>"59717.321"</f>
        <v>59717.321</v>
      </c>
      <c r="F778" t="str">
        <f>""</f>
        <v/>
      </c>
      <c r="G778" t="str">
        <f>"0.004"</f>
        <v>0.004</v>
      </c>
      <c r="H778" t="str">
        <f>""</f>
        <v/>
      </c>
      <c r="I778" t="str">
        <f t="shared" si="87"/>
        <v xml:space="preserve">                                                     </v>
      </c>
      <c r="J778" t="str">
        <f>""</f>
        <v/>
      </c>
    </row>
    <row r="779" spans="1:10">
      <c r="A779" s="1" t="str">
        <f t="shared" si="89"/>
        <v>3d6.4s.(6D&lt;7/2&gt;).5g</v>
      </c>
      <c r="B779" t="str">
        <f>"2[7/2]"</f>
        <v>2[7/2]</v>
      </c>
      <c r="C779" t="str">
        <f>"4"</f>
        <v>4</v>
      </c>
      <c r="D779" t="str">
        <f>""</f>
        <v/>
      </c>
      <c r="E779" t="str">
        <f>"59717.329"</f>
        <v>59717.329</v>
      </c>
      <c r="F779" t="str">
        <f>""</f>
        <v/>
      </c>
      <c r="G779" t="str">
        <f>"0.004"</f>
        <v>0.004</v>
      </c>
      <c r="H779" t="str">
        <f>""</f>
        <v/>
      </c>
      <c r="I779" t="str">
        <f t="shared" si="87"/>
        <v xml:space="preserve">                                                     </v>
      </c>
      <c r="J779" t="str">
        <f>""</f>
        <v/>
      </c>
    </row>
    <row r="780" spans="1:10">
      <c r="A780" s="1" t="str">
        <f t="shared" si="89"/>
        <v>3d6.4s.(6D&lt;7/2&gt;).5g</v>
      </c>
      <c r="B780" t="str">
        <f>"2[5/2]"</f>
        <v>2[5/2]</v>
      </c>
      <c r="C780" t="str">
        <f>"2"</f>
        <v>2</v>
      </c>
      <c r="D780" t="str">
        <f>""</f>
        <v/>
      </c>
      <c r="E780" t="str">
        <f>"59717.763"</f>
        <v>59717.763</v>
      </c>
      <c r="F780" t="str">
        <f>""</f>
        <v/>
      </c>
      <c r="G780" t="str">
        <f>"0.004"</f>
        <v>0.004</v>
      </c>
      <c r="H780" t="str">
        <f>""</f>
        <v/>
      </c>
      <c r="I780" t="str">
        <f t="shared" si="87"/>
        <v xml:space="preserve">                                                     </v>
      </c>
      <c r="J780" t="str">
        <f>""</f>
        <v/>
      </c>
    </row>
    <row r="781" spans="1:10">
      <c r="A781" s="1" t="str">
        <f t="shared" si="89"/>
        <v>3d6.4s.(6D&lt;7/2&gt;).5g</v>
      </c>
      <c r="B781" t="str">
        <f>"2[5/2]"</f>
        <v>2[5/2]</v>
      </c>
      <c r="C781" t="str">
        <f>"3"</f>
        <v>3</v>
      </c>
      <c r="D781" t="str">
        <f>""</f>
        <v/>
      </c>
      <c r="E781" t="str">
        <f>"59717.768"</f>
        <v>59717.768</v>
      </c>
      <c r="F781" t="str">
        <f>""</f>
        <v/>
      </c>
      <c r="G781" t="str">
        <f>"0.004"</f>
        <v>0.004</v>
      </c>
      <c r="H781" t="str">
        <f>""</f>
        <v/>
      </c>
      <c r="I781" t="str">
        <f t="shared" si="87"/>
        <v xml:space="preserve">                                                     </v>
      </c>
      <c r="J781" t="str">
        <f>""</f>
        <v/>
      </c>
    </row>
    <row r="782" spans="1:10">
      <c r="A782" s="1" t="str">
        <f t="shared" si="89"/>
        <v>3d6.4s.(6D&lt;7/2&gt;).5g</v>
      </c>
      <c r="B782" t="str">
        <f>"2[15/2]"</f>
        <v>2[15/2]</v>
      </c>
      <c r="C782" t="str">
        <f>"7"</f>
        <v>7</v>
      </c>
      <c r="D782" t="str">
        <f>""</f>
        <v/>
      </c>
      <c r="E782" t="str">
        <f>"59717.944"</f>
        <v>59717.944</v>
      </c>
      <c r="F782" t="str">
        <f>""</f>
        <v/>
      </c>
      <c r="G782" t="str">
        <f>"0.01"</f>
        <v>0.01</v>
      </c>
      <c r="H782" t="str">
        <f>""</f>
        <v/>
      </c>
      <c r="I782" t="str">
        <f t="shared" si="87"/>
        <v xml:space="preserve">                                                     </v>
      </c>
      <c r="J782" t="str">
        <f>""</f>
        <v/>
      </c>
    </row>
    <row r="783" spans="1:10">
      <c r="A783" s="1" t="str">
        <f t="shared" si="89"/>
        <v>3d6.4s.(6D&lt;7/2&gt;).5g</v>
      </c>
      <c r="B783" t="str">
        <f>"2[15/2]"</f>
        <v>2[15/2]</v>
      </c>
      <c r="C783" t="str">
        <f>"8"</f>
        <v>8</v>
      </c>
      <c r="D783" t="str">
        <f>""</f>
        <v/>
      </c>
      <c r="E783" t="str">
        <f>"59717.945"</f>
        <v>59717.945</v>
      </c>
      <c r="F783" t="str">
        <f>""</f>
        <v/>
      </c>
      <c r="G783" t="str">
        <f>"0.007"</f>
        <v>0.007</v>
      </c>
      <c r="H783" t="str">
        <f>""</f>
        <v/>
      </c>
      <c r="I783" t="str">
        <f t="shared" si="87"/>
        <v xml:space="preserve">                                                     </v>
      </c>
      <c r="J783" t="str">
        <f>""</f>
        <v/>
      </c>
    </row>
    <row r="784" spans="1:10">
      <c r="A784" s="1" t="str">
        <f t="shared" si="89"/>
        <v>3d6.4s.(6D&lt;7/2&gt;).5g</v>
      </c>
      <c r="B784" t="str">
        <f>"2[3/2]"</f>
        <v>2[3/2]</v>
      </c>
      <c r="C784" t="str">
        <f>"1"</f>
        <v>1</v>
      </c>
      <c r="D784" t="str">
        <f>""</f>
        <v/>
      </c>
      <c r="E784" t="str">
        <f>"59718.134"</f>
        <v>59718.134</v>
      </c>
      <c r="F784" t="str">
        <f>""</f>
        <v/>
      </c>
      <c r="G784" t="str">
        <f>"0.015"</f>
        <v>0.015</v>
      </c>
      <c r="H784" t="str">
        <f>""</f>
        <v/>
      </c>
      <c r="I784" t="str">
        <f t="shared" ref="I784:I817" si="90">"                                                     "</f>
        <v xml:space="preserve">                                                     </v>
      </c>
      <c r="J784" t="str">
        <f>""</f>
        <v/>
      </c>
    </row>
    <row r="785" spans="1:10">
      <c r="A785" s="1" t="str">
        <f t="shared" si="89"/>
        <v>3d6.4s.(6D&lt;7/2&gt;).5g</v>
      </c>
      <c r="B785" t="str">
        <f>"2[3/2]"</f>
        <v>2[3/2]</v>
      </c>
      <c r="C785" t="str">
        <f>"2"</f>
        <v>2</v>
      </c>
      <c r="D785" t="str">
        <f>""</f>
        <v/>
      </c>
      <c r="E785" t="str">
        <f>"59718.134"</f>
        <v>59718.134</v>
      </c>
      <c r="F785" t="str">
        <f>""</f>
        <v/>
      </c>
      <c r="G785" t="str">
        <f>"0.013"</f>
        <v>0.013</v>
      </c>
      <c r="H785" t="str">
        <f>""</f>
        <v/>
      </c>
      <c r="I785" t="str">
        <f t="shared" si="90"/>
        <v xml:space="preserve">                                                     </v>
      </c>
      <c r="J785" t="str">
        <f>""</f>
        <v/>
      </c>
    </row>
    <row r="786" spans="1:10">
      <c r="A786" s="1" t="str">
        <f t="shared" ref="A786:A794" si="91">"3d6.4s.(6D&lt;5/2&gt;).6d"</f>
        <v>3d6.4s.(6D&lt;5/2&gt;).6d</v>
      </c>
      <c r="B786" t="str">
        <f>"2[9/2]"</f>
        <v>2[9/2]</v>
      </c>
      <c r="C786" t="str">
        <f>"5"</f>
        <v>5</v>
      </c>
      <c r="D786" t="str">
        <f>""</f>
        <v/>
      </c>
      <c r="E786" t="str">
        <f>"59718.724"</f>
        <v>59718.724</v>
      </c>
      <c r="F786" t="str">
        <f>""</f>
        <v/>
      </c>
      <c r="G786" t="str">
        <f>"0.01"</f>
        <v>0.01</v>
      </c>
      <c r="H786" t="str">
        <f>""</f>
        <v/>
      </c>
      <c r="I786" t="str">
        <f t="shared" si="90"/>
        <v xml:space="preserve">                                                     </v>
      </c>
      <c r="J786" t="str">
        <f>""</f>
        <v/>
      </c>
    </row>
    <row r="787" spans="1:10">
      <c r="A787" s="1" t="str">
        <f t="shared" si="91"/>
        <v>3d6.4s.(6D&lt;5/2&gt;).6d</v>
      </c>
      <c r="B787" t="str">
        <f>"2[9/2]"</f>
        <v>2[9/2]</v>
      </c>
      <c r="C787" t="str">
        <f>"4"</f>
        <v>4</v>
      </c>
      <c r="D787" t="str">
        <f>""</f>
        <v/>
      </c>
      <c r="E787" t="str">
        <f>"59725.904"</f>
        <v>59725.904</v>
      </c>
      <c r="F787" t="str">
        <f>""</f>
        <v/>
      </c>
      <c r="G787" t="str">
        <f>"0.013"</f>
        <v>0.013</v>
      </c>
      <c r="H787" t="str">
        <f>""</f>
        <v/>
      </c>
      <c r="I787" t="str">
        <f t="shared" si="90"/>
        <v xml:space="preserve">                                                     </v>
      </c>
      <c r="J787" t="str">
        <f>""</f>
        <v/>
      </c>
    </row>
    <row r="788" spans="1:10">
      <c r="A788" s="1" t="str">
        <f t="shared" si="91"/>
        <v>3d6.4s.(6D&lt;5/2&gt;).6d</v>
      </c>
      <c r="B788" t="str">
        <f>"2[1/2]"</f>
        <v>2[1/2]</v>
      </c>
      <c r="C788" t="str">
        <f>"1"</f>
        <v>1</v>
      </c>
      <c r="D788" t="str">
        <f>""</f>
        <v/>
      </c>
      <c r="E788" t="str">
        <f>"59729.17"</f>
        <v>59729.17</v>
      </c>
      <c r="F788" t="str">
        <f>""</f>
        <v/>
      </c>
      <c r="G788" t="str">
        <f>"0.03"</f>
        <v>0.03</v>
      </c>
      <c r="H788" t="str">
        <f>""</f>
        <v/>
      </c>
      <c r="I788" t="str">
        <f t="shared" si="90"/>
        <v xml:space="preserve">                                                     </v>
      </c>
      <c r="J788" t="str">
        <f>""</f>
        <v/>
      </c>
    </row>
    <row r="789" spans="1:10">
      <c r="A789" s="1" t="str">
        <f t="shared" si="91"/>
        <v>3d6.4s.(6D&lt;5/2&gt;).6d</v>
      </c>
      <c r="B789" t="str">
        <f>"2[3/2]"</f>
        <v>2[3/2]</v>
      </c>
      <c r="C789" t="str">
        <f>"1"</f>
        <v>1</v>
      </c>
      <c r="D789" t="str">
        <f>""</f>
        <v/>
      </c>
      <c r="E789" t="str">
        <f>"59766.92"</f>
        <v>59766.92</v>
      </c>
      <c r="F789" t="str">
        <f>""</f>
        <v/>
      </c>
      <c r="G789" t="str">
        <f>"0.02"</f>
        <v>0.02</v>
      </c>
      <c r="H789" t="str">
        <f>""</f>
        <v/>
      </c>
      <c r="I789" t="str">
        <f t="shared" si="90"/>
        <v xml:space="preserve">                                                     </v>
      </c>
      <c r="J789" t="str">
        <f>""</f>
        <v/>
      </c>
    </row>
    <row r="790" spans="1:10">
      <c r="A790" s="1" t="str">
        <f t="shared" si="91"/>
        <v>3d6.4s.(6D&lt;5/2&gt;).6d</v>
      </c>
      <c r="B790" t="str">
        <f>"2[3/2]"</f>
        <v>2[3/2]</v>
      </c>
      <c r="C790" t="str">
        <f>"2"</f>
        <v>2</v>
      </c>
      <c r="D790" t="str">
        <f>""</f>
        <v/>
      </c>
      <c r="E790" t="str">
        <f>"59780.484"</f>
        <v>59780.484</v>
      </c>
      <c r="F790" t="str">
        <f>""</f>
        <v/>
      </c>
      <c r="G790" t="str">
        <f>"0.01"</f>
        <v>0.01</v>
      </c>
      <c r="H790" t="str">
        <f>""</f>
        <v/>
      </c>
      <c r="I790" t="str">
        <f t="shared" si="90"/>
        <v xml:space="preserve">                                                     </v>
      </c>
      <c r="J790" t="str">
        <f>""</f>
        <v/>
      </c>
    </row>
    <row r="791" spans="1:10">
      <c r="A791" s="1" t="str">
        <f t="shared" si="91"/>
        <v>3d6.4s.(6D&lt;5/2&gt;).6d</v>
      </c>
      <c r="B791" t="str">
        <f>"2[5/2]"</f>
        <v>2[5/2]</v>
      </c>
      <c r="C791" t="str">
        <f>"3"</f>
        <v>3</v>
      </c>
      <c r="D791" t="str">
        <f>""</f>
        <v/>
      </c>
      <c r="E791" t="str">
        <f>"59820.664"</f>
        <v>59820.664</v>
      </c>
      <c r="F791" t="str">
        <f>""</f>
        <v/>
      </c>
      <c r="G791" t="str">
        <f>"0.017"</f>
        <v>0.017</v>
      </c>
      <c r="H791" t="str">
        <f>""</f>
        <v/>
      </c>
      <c r="I791" t="str">
        <f t="shared" si="90"/>
        <v xml:space="preserve">                                                     </v>
      </c>
      <c r="J791" t="str">
        <f>""</f>
        <v/>
      </c>
    </row>
    <row r="792" spans="1:10">
      <c r="A792" s="1" t="str">
        <f t="shared" si="91"/>
        <v>3d6.4s.(6D&lt;5/2&gt;).6d</v>
      </c>
      <c r="B792" t="str">
        <f>"2[5/2]"</f>
        <v>2[5/2]</v>
      </c>
      <c r="C792" t="str">
        <f>"2"</f>
        <v>2</v>
      </c>
      <c r="D792" t="str">
        <f>""</f>
        <v/>
      </c>
      <c r="E792" t="str">
        <f>"59843.564"</f>
        <v>59843.564</v>
      </c>
      <c r="F792" t="str">
        <f>""</f>
        <v/>
      </c>
      <c r="G792" t="str">
        <f>"0.014"</f>
        <v>0.014</v>
      </c>
      <c r="H792" t="str">
        <f>""</f>
        <v/>
      </c>
      <c r="I792" t="str">
        <f t="shared" si="90"/>
        <v xml:space="preserve">                                                     </v>
      </c>
      <c r="J792" t="str">
        <f>""</f>
        <v/>
      </c>
    </row>
    <row r="793" spans="1:10">
      <c r="A793" s="1" t="str">
        <f t="shared" si="91"/>
        <v>3d6.4s.(6D&lt;5/2&gt;).6d</v>
      </c>
      <c r="B793" t="str">
        <f>"2[7/2]"</f>
        <v>2[7/2]</v>
      </c>
      <c r="C793" t="str">
        <f>"4"</f>
        <v>4</v>
      </c>
      <c r="D793" t="str">
        <f>""</f>
        <v/>
      </c>
      <c r="E793" t="str">
        <f>"59878.64"</f>
        <v>59878.64</v>
      </c>
      <c r="F793" t="str">
        <f>""</f>
        <v/>
      </c>
      <c r="G793" t="str">
        <f>"0.04"</f>
        <v>0.04</v>
      </c>
      <c r="H793" t="str">
        <f>""</f>
        <v/>
      </c>
      <c r="I793" t="str">
        <f t="shared" si="90"/>
        <v xml:space="preserve">                                                     </v>
      </c>
      <c r="J793" t="str">
        <f>""</f>
        <v/>
      </c>
    </row>
    <row r="794" spans="1:10">
      <c r="A794" s="1" t="str">
        <f t="shared" si="91"/>
        <v>3d6.4s.(6D&lt;5/2&gt;).6d</v>
      </c>
      <c r="B794" t="str">
        <f>"2[7/2]"</f>
        <v>2[7/2]</v>
      </c>
      <c r="C794" t="str">
        <f>"3"</f>
        <v>3</v>
      </c>
      <c r="D794" t="str">
        <f>""</f>
        <v/>
      </c>
      <c r="E794" t="str">
        <f>"59886.70"</f>
        <v>59886.70</v>
      </c>
      <c r="F794" t="str">
        <f>""</f>
        <v/>
      </c>
      <c r="G794" t="str">
        <f>"0.03"</f>
        <v>0.03</v>
      </c>
      <c r="H794" t="str">
        <f>""</f>
        <v/>
      </c>
      <c r="I794" t="str">
        <f t="shared" si="90"/>
        <v xml:space="preserve">                                                     </v>
      </c>
      <c r="J794" t="str">
        <f>""</f>
        <v/>
      </c>
    </row>
    <row r="795" spans="1:10">
      <c r="A795" s="1" t="str">
        <f t="shared" ref="A795:A800" si="92">"3d7.(4F&lt;3/2&gt;).4f"</f>
        <v>3d7.(4F&lt;3/2&gt;).4f</v>
      </c>
      <c r="B795" t="str">
        <f>"2[7/2]*"</f>
        <v>2[7/2]*</v>
      </c>
      <c r="C795" t="str">
        <f>"4"</f>
        <v>4</v>
      </c>
      <c r="D795" t="str">
        <f>""</f>
        <v/>
      </c>
      <c r="E795" t="str">
        <f>"59947.023"</f>
        <v>59947.023</v>
      </c>
      <c r="F795" t="str">
        <f>""</f>
        <v/>
      </c>
      <c r="G795" t="str">
        <f>"0.002"</f>
        <v>0.002</v>
      </c>
      <c r="H795" t="str">
        <f>""</f>
        <v/>
      </c>
      <c r="I795" t="str">
        <f t="shared" si="90"/>
        <v xml:space="preserve">                                                     </v>
      </c>
      <c r="J795" t="str">
        <f>""</f>
        <v/>
      </c>
    </row>
    <row r="796" spans="1:10">
      <c r="A796" s="1" t="str">
        <f t="shared" si="92"/>
        <v>3d7.(4F&lt;3/2&gt;).4f</v>
      </c>
      <c r="B796" t="str">
        <f>"2[7/2]*"</f>
        <v>2[7/2]*</v>
      </c>
      <c r="C796" t="str">
        <f>"3"</f>
        <v>3</v>
      </c>
      <c r="D796" t="str">
        <f>""</f>
        <v/>
      </c>
      <c r="E796" t="str">
        <f>"59947.324"</f>
        <v>59947.324</v>
      </c>
      <c r="F796" t="str">
        <f>""</f>
        <v/>
      </c>
      <c r="G796" t="str">
        <f>"0.003"</f>
        <v>0.003</v>
      </c>
      <c r="H796" t="str">
        <f>""</f>
        <v/>
      </c>
      <c r="I796" t="str">
        <f t="shared" si="90"/>
        <v xml:space="preserve">                                                     </v>
      </c>
      <c r="J796" t="str">
        <f>""</f>
        <v/>
      </c>
    </row>
    <row r="797" spans="1:10">
      <c r="A797" s="1" t="str">
        <f t="shared" si="92"/>
        <v>3d7.(4F&lt;3/2&gt;).4f</v>
      </c>
      <c r="B797" t="str">
        <f>"2[5/2]*"</f>
        <v>2[5/2]*</v>
      </c>
      <c r="C797" t="str">
        <f>"2"</f>
        <v>2</v>
      </c>
      <c r="D797" t="str">
        <f>""</f>
        <v/>
      </c>
      <c r="E797" t="str">
        <f>"59947.766"</f>
        <v>59947.766</v>
      </c>
      <c r="F797" t="str">
        <f>""</f>
        <v/>
      </c>
      <c r="G797" t="str">
        <f>"0.003"</f>
        <v>0.003</v>
      </c>
      <c r="H797" t="str">
        <f>""</f>
        <v/>
      </c>
      <c r="I797" t="str">
        <f t="shared" si="90"/>
        <v xml:space="preserve">                                                     </v>
      </c>
      <c r="J797" t="str">
        <f>""</f>
        <v/>
      </c>
    </row>
    <row r="798" spans="1:10">
      <c r="A798" s="1" t="str">
        <f t="shared" si="92"/>
        <v>3d7.(4F&lt;3/2&gt;).4f</v>
      </c>
      <c r="B798" t="str">
        <f>"2[5/2]*"</f>
        <v>2[5/2]*</v>
      </c>
      <c r="C798" t="str">
        <f>"3"</f>
        <v>3</v>
      </c>
      <c r="D798" t="str">
        <f>""</f>
        <v/>
      </c>
      <c r="E798" t="str">
        <f>"59952.533"</f>
        <v>59952.533</v>
      </c>
      <c r="F798" t="str">
        <f>""</f>
        <v/>
      </c>
      <c r="G798" t="str">
        <f>"0.003"</f>
        <v>0.003</v>
      </c>
      <c r="H798" t="str">
        <f>""</f>
        <v/>
      </c>
      <c r="I798" t="str">
        <f t="shared" si="90"/>
        <v xml:space="preserve">                                                     </v>
      </c>
      <c r="J798" t="str">
        <f>""</f>
        <v/>
      </c>
    </row>
    <row r="799" spans="1:10">
      <c r="A799" s="1" t="str">
        <f t="shared" si="92"/>
        <v>3d7.(4F&lt;3/2&gt;).4f</v>
      </c>
      <c r="B799" t="str">
        <f>"2[9/2]*"</f>
        <v>2[9/2]*</v>
      </c>
      <c r="C799" t="str">
        <f>"5"</f>
        <v>5</v>
      </c>
      <c r="D799" t="str">
        <f>""</f>
        <v/>
      </c>
      <c r="E799" t="str">
        <f>"59960.482"</f>
        <v>59960.482</v>
      </c>
      <c r="F799" t="str">
        <f>""</f>
        <v/>
      </c>
      <c r="G799" t="str">
        <f>"0.002"</f>
        <v>0.002</v>
      </c>
      <c r="H799" t="str">
        <f>""</f>
        <v/>
      </c>
      <c r="I799" t="str">
        <f t="shared" si="90"/>
        <v xml:space="preserve">                                                     </v>
      </c>
      <c r="J799" t="str">
        <f>""</f>
        <v/>
      </c>
    </row>
    <row r="800" spans="1:10">
      <c r="A800" s="1" t="str">
        <f t="shared" si="92"/>
        <v>3d7.(4F&lt;3/2&gt;).4f</v>
      </c>
      <c r="B800" t="str">
        <f>"2[9/2]*"</f>
        <v>2[9/2]*</v>
      </c>
      <c r="C800" t="str">
        <f>"4"</f>
        <v>4</v>
      </c>
      <c r="D800" t="str">
        <f>""</f>
        <v/>
      </c>
      <c r="E800" t="str">
        <f>"59960.956"</f>
        <v>59960.956</v>
      </c>
      <c r="F800" t="str">
        <f>""</f>
        <v/>
      </c>
      <c r="G800" t="str">
        <f>"0.003"</f>
        <v>0.003</v>
      </c>
      <c r="H800" t="str">
        <f>""</f>
        <v/>
      </c>
      <c r="I800" t="str">
        <f t="shared" si="90"/>
        <v xml:space="preserve">                                                     </v>
      </c>
      <c r="J800" t="str">
        <f>""</f>
        <v/>
      </c>
    </row>
    <row r="801" spans="1:10">
      <c r="A801" s="1" t="str">
        <f>"3d6.4s.(6D&lt;3/2&gt;).6d"</f>
        <v>3d6.4s.(6D&lt;3/2&gt;).6d</v>
      </c>
      <c r="B801" t="str">
        <f>"2[1/2]"</f>
        <v>2[1/2]</v>
      </c>
      <c r="C801" t="str">
        <f>"1"</f>
        <v>1</v>
      </c>
      <c r="D801" t="str">
        <f>""</f>
        <v/>
      </c>
      <c r="E801" t="str">
        <f>"59968.52"</f>
        <v>59968.52</v>
      </c>
      <c r="F801" t="str">
        <f>""</f>
        <v/>
      </c>
      <c r="G801" t="str">
        <f>"0.02"</f>
        <v>0.02</v>
      </c>
      <c r="H801" t="str">
        <f>""</f>
        <v/>
      </c>
      <c r="I801" t="str">
        <f t="shared" si="90"/>
        <v xml:space="preserve">                                                     </v>
      </c>
      <c r="J801" t="str">
        <f>""</f>
        <v/>
      </c>
    </row>
    <row r="802" spans="1:10">
      <c r="A802" s="1" t="str">
        <f t="shared" ref="A802:A807" si="93">"3d6.4s.(6D&lt;5/2&gt;).5g"</f>
        <v>3d6.4s.(6D&lt;5/2&gt;).5g</v>
      </c>
      <c r="B802" t="str">
        <f>"2[3/2]"</f>
        <v>2[3/2]</v>
      </c>
      <c r="C802" t="str">
        <f>"2"</f>
        <v>2</v>
      </c>
      <c r="D802" t="str">
        <f>""</f>
        <v/>
      </c>
      <c r="E802" t="str">
        <f>"59998.128"</f>
        <v>59998.128</v>
      </c>
      <c r="F802" t="str">
        <f>""</f>
        <v/>
      </c>
      <c r="G802" t="str">
        <f>"0.005"</f>
        <v>0.005</v>
      </c>
      <c r="H802" t="str">
        <f>""</f>
        <v/>
      </c>
      <c r="I802" t="str">
        <f t="shared" si="90"/>
        <v xml:space="preserve">                                                     </v>
      </c>
      <c r="J802" t="str">
        <f>""</f>
        <v/>
      </c>
    </row>
    <row r="803" spans="1:10">
      <c r="A803" s="1" t="str">
        <f t="shared" si="93"/>
        <v>3d6.4s.(6D&lt;5/2&gt;).5g</v>
      </c>
      <c r="B803" t="str">
        <f>"2[3/2]"</f>
        <v>2[3/2]</v>
      </c>
      <c r="C803" t="str">
        <f>"1"</f>
        <v>1</v>
      </c>
      <c r="D803" t="str">
        <f>""</f>
        <v/>
      </c>
      <c r="E803" t="str">
        <f>"59998.132"</f>
        <v>59998.132</v>
      </c>
      <c r="F803" t="str">
        <f>""</f>
        <v/>
      </c>
      <c r="G803" t="str">
        <f>"0.014"</f>
        <v>0.014</v>
      </c>
      <c r="H803" t="str">
        <f>""</f>
        <v/>
      </c>
      <c r="I803" t="str">
        <f t="shared" si="90"/>
        <v xml:space="preserve">                                                     </v>
      </c>
      <c r="J803" t="str">
        <f>""</f>
        <v/>
      </c>
    </row>
    <row r="804" spans="1:10">
      <c r="A804" s="1" t="str">
        <f t="shared" si="93"/>
        <v>3d6.4s.(6D&lt;5/2&gt;).5g</v>
      </c>
      <c r="B804" t="str">
        <f>"2[13/2]"</f>
        <v>2[13/2]</v>
      </c>
      <c r="C804" t="str">
        <f>"6"</f>
        <v>6</v>
      </c>
      <c r="D804" t="str">
        <f>""</f>
        <v/>
      </c>
      <c r="E804" t="str">
        <f>"59999.210"</f>
        <v>59999.210</v>
      </c>
      <c r="F804" t="str">
        <f>""</f>
        <v/>
      </c>
      <c r="G804" t="str">
        <f>"0.004"</f>
        <v>0.004</v>
      </c>
      <c r="H804" t="str">
        <f>""</f>
        <v/>
      </c>
      <c r="I804" t="str">
        <f t="shared" si="90"/>
        <v xml:space="preserve">                                                     </v>
      </c>
      <c r="J804" t="str">
        <f>""</f>
        <v/>
      </c>
    </row>
    <row r="805" spans="1:10">
      <c r="A805" s="1" t="str">
        <f t="shared" si="93"/>
        <v>3d6.4s.(6D&lt;5/2&gt;).5g</v>
      </c>
      <c r="B805" t="str">
        <f>"2[13/2]"</f>
        <v>2[13/2]</v>
      </c>
      <c r="C805" t="str">
        <f>"7"</f>
        <v>7</v>
      </c>
      <c r="D805" t="str">
        <f>""</f>
        <v/>
      </c>
      <c r="E805" t="str">
        <f>"59999.215"</f>
        <v>59999.215</v>
      </c>
      <c r="F805" t="str">
        <f>""</f>
        <v/>
      </c>
      <c r="G805" t="str">
        <f>"0.007"</f>
        <v>0.007</v>
      </c>
      <c r="H805" t="str">
        <f>""</f>
        <v/>
      </c>
      <c r="I805" t="str">
        <f t="shared" si="90"/>
        <v xml:space="preserve">                                                     </v>
      </c>
      <c r="J805" t="str">
        <f>""</f>
        <v/>
      </c>
    </row>
    <row r="806" spans="1:10">
      <c r="A806" s="1" t="str">
        <f t="shared" si="93"/>
        <v>3d6.4s.(6D&lt;5/2&gt;).5g</v>
      </c>
      <c r="B806" t="str">
        <f>"2[5/2]"</f>
        <v>2[5/2]</v>
      </c>
      <c r="C806" t="str">
        <f>"2"</f>
        <v>2</v>
      </c>
      <c r="D806" t="str">
        <f>""</f>
        <v/>
      </c>
      <c r="E806" t="str">
        <f>"59999.394"</f>
        <v>59999.394</v>
      </c>
      <c r="F806" t="str">
        <f>""</f>
        <v/>
      </c>
      <c r="G806" t="str">
        <f>"0.006"</f>
        <v>0.006</v>
      </c>
      <c r="H806" t="str">
        <f>""</f>
        <v/>
      </c>
      <c r="I806" t="str">
        <f t="shared" si="90"/>
        <v xml:space="preserve">                                                     </v>
      </c>
      <c r="J806" t="str">
        <f>""</f>
        <v/>
      </c>
    </row>
    <row r="807" spans="1:10">
      <c r="A807" s="1" t="str">
        <f t="shared" si="93"/>
        <v>3d6.4s.(6D&lt;5/2&gt;).5g</v>
      </c>
      <c r="B807" t="str">
        <f>"2[5/2]"</f>
        <v>2[5/2]</v>
      </c>
      <c r="C807" t="str">
        <f>"3"</f>
        <v>3</v>
      </c>
      <c r="D807" t="str">
        <f>""</f>
        <v/>
      </c>
      <c r="E807" t="str">
        <f>"59999.398"</f>
        <v>59999.398</v>
      </c>
      <c r="F807" t="str">
        <f>""</f>
        <v/>
      </c>
      <c r="G807" t="str">
        <f>"0.005"</f>
        <v>0.005</v>
      </c>
      <c r="H807" t="str">
        <f>""</f>
        <v/>
      </c>
      <c r="I807" t="str">
        <f t="shared" si="90"/>
        <v xml:space="preserve">                                                     </v>
      </c>
      <c r="J807" t="str">
        <f>""</f>
        <v/>
      </c>
    </row>
    <row r="808" spans="1:10">
      <c r="A808" s="1" t="str">
        <f>"3d6.4s.(6D&lt;3/2&gt;).6d"</f>
        <v>3d6.4s.(6D&lt;3/2&gt;).6d</v>
      </c>
      <c r="B808" t="str">
        <f>"2[3/2]"</f>
        <v>2[3/2]</v>
      </c>
      <c r="C808" t="str">
        <f>"1"</f>
        <v>1</v>
      </c>
      <c r="D808" t="str">
        <f>""</f>
        <v/>
      </c>
      <c r="E808" t="str">
        <f>"59999.79"</f>
        <v>59999.79</v>
      </c>
      <c r="F808" t="str">
        <f>""</f>
        <v/>
      </c>
      <c r="G808" t="str">
        <f>"0.03"</f>
        <v>0.03</v>
      </c>
      <c r="H808" t="str">
        <f>""</f>
        <v/>
      </c>
      <c r="I808" t="str">
        <f t="shared" si="90"/>
        <v xml:space="preserve">                                                     </v>
      </c>
      <c r="J808" t="str">
        <f>""</f>
        <v/>
      </c>
    </row>
    <row r="809" spans="1:10">
      <c r="A809" s="1" t="str">
        <f>"3d6.4s.(6D&lt;3/2&gt;).6d"</f>
        <v>3d6.4s.(6D&lt;3/2&gt;).6d</v>
      </c>
      <c r="B809" t="str">
        <f>"2[3/2]"</f>
        <v>2[3/2]</v>
      </c>
      <c r="C809" t="str">
        <f>"2"</f>
        <v>2</v>
      </c>
      <c r="D809" t="str">
        <f>""</f>
        <v/>
      </c>
      <c r="E809" t="str">
        <f>"60035.04"</f>
        <v>60035.04</v>
      </c>
      <c r="F809" t="str">
        <f>""</f>
        <v/>
      </c>
      <c r="G809" t="str">
        <f>"0.03"</f>
        <v>0.03</v>
      </c>
      <c r="H809" t="str">
        <f>""</f>
        <v/>
      </c>
      <c r="I809" t="str">
        <f t="shared" si="90"/>
        <v xml:space="preserve">                                                     </v>
      </c>
      <c r="J809" t="str">
        <f>""</f>
        <v/>
      </c>
    </row>
    <row r="810" spans="1:10">
      <c r="A810" s="1" t="str">
        <f t="shared" ref="A810:A815" si="94">"3d6.4s.(6D&lt;5/2&gt;).5g"</f>
        <v>3d6.4s.(6D&lt;5/2&gt;).5g</v>
      </c>
      <c r="B810" t="str">
        <f>"2[7/2]"</f>
        <v>2[7/2]</v>
      </c>
      <c r="C810" t="str">
        <f>"3"</f>
        <v>3</v>
      </c>
      <c r="D810" t="str">
        <f>""</f>
        <v/>
      </c>
      <c r="E810" t="str">
        <f>"60000.71"</f>
        <v>60000.71</v>
      </c>
      <c r="F810" t="str">
        <f>""</f>
        <v/>
      </c>
      <c r="G810" t="str">
        <f>"0.02"</f>
        <v>0.02</v>
      </c>
      <c r="H810" t="str">
        <f>""</f>
        <v/>
      </c>
      <c r="I810" t="str">
        <f t="shared" si="90"/>
        <v xml:space="preserve">                                                     </v>
      </c>
      <c r="J810" t="str">
        <f>""</f>
        <v/>
      </c>
    </row>
    <row r="811" spans="1:10">
      <c r="A811" s="1" t="str">
        <f t="shared" si="94"/>
        <v>3d6.4s.(6D&lt;5/2&gt;).5g</v>
      </c>
      <c r="B811" t="str">
        <f>"2[7/2]"</f>
        <v>2[7/2]</v>
      </c>
      <c r="C811" t="str">
        <f>"4"</f>
        <v>4</v>
      </c>
      <c r="D811" t="str">
        <f>""</f>
        <v/>
      </c>
      <c r="E811" t="str">
        <f>"60000.715"</f>
        <v>60000.715</v>
      </c>
      <c r="F811" t="str">
        <f>""</f>
        <v/>
      </c>
      <c r="G811" t="str">
        <f>"0.007"</f>
        <v>0.007</v>
      </c>
      <c r="H811" t="str">
        <f>""</f>
        <v/>
      </c>
      <c r="I811" t="str">
        <f t="shared" si="90"/>
        <v xml:space="preserve">                                                     </v>
      </c>
      <c r="J811" t="str">
        <f>""</f>
        <v/>
      </c>
    </row>
    <row r="812" spans="1:10">
      <c r="A812" s="1" t="str">
        <f t="shared" si="94"/>
        <v>3d6.4s.(6D&lt;5/2&gt;).5g</v>
      </c>
      <c r="B812" t="str">
        <f>"2[11/2]"</f>
        <v>2[11/2]</v>
      </c>
      <c r="C812" t="str">
        <f>"5"</f>
        <v>5</v>
      </c>
      <c r="D812" t="str">
        <f>""</f>
        <v/>
      </c>
      <c r="E812" t="str">
        <f>"60001.341"</f>
        <v>60001.341</v>
      </c>
      <c r="F812" t="str">
        <f>""</f>
        <v/>
      </c>
      <c r="G812" t="str">
        <f>"0.004"</f>
        <v>0.004</v>
      </c>
      <c r="H812" t="str">
        <f>""</f>
        <v/>
      </c>
      <c r="I812" t="str">
        <f t="shared" si="90"/>
        <v xml:space="preserve">                                                     </v>
      </c>
      <c r="J812" t="str">
        <f>""</f>
        <v/>
      </c>
    </row>
    <row r="813" spans="1:10">
      <c r="A813" s="1" t="str">
        <f t="shared" si="94"/>
        <v>3d6.4s.(6D&lt;5/2&gt;).5g</v>
      </c>
      <c r="B813" t="str">
        <f>"2[11/2]"</f>
        <v>2[11/2]</v>
      </c>
      <c r="C813" t="str">
        <f>"6"</f>
        <v>6</v>
      </c>
      <c r="D813" t="str">
        <f>""</f>
        <v/>
      </c>
      <c r="E813" t="str">
        <f>"60001.347"</f>
        <v>60001.347</v>
      </c>
      <c r="F813" t="str">
        <f>""</f>
        <v/>
      </c>
      <c r="G813" t="str">
        <f>"0.004"</f>
        <v>0.004</v>
      </c>
      <c r="H813" t="str">
        <f>""</f>
        <v/>
      </c>
      <c r="I813" t="str">
        <f t="shared" si="90"/>
        <v xml:space="preserve">                                                     </v>
      </c>
      <c r="J813" t="str">
        <f>""</f>
        <v/>
      </c>
    </row>
    <row r="814" spans="1:10">
      <c r="A814" s="1" t="str">
        <f t="shared" si="94"/>
        <v>3d6.4s.(6D&lt;5/2&gt;).5g</v>
      </c>
      <c r="B814" t="str">
        <f>"2[9/2]"</f>
        <v>2[9/2]</v>
      </c>
      <c r="C814" t="str">
        <f>"4"</f>
        <v>4</v>
      </c>
      <c r="D814" t="str">
        <f>""</f>
        <v/>
      </c>
      <c r="E814" t="str">
        <f>"60001.563"</f>
        <v>60001.563</v>
      </c>
      <c r="F814" t="str">
        <f>""</f>
        <v/>
      </c>
      <c r="G814" t="str">
        <f>"0.007"</f>
        <v>0.007</v>
      </c>
      <c r="H814" t="str">
        <f>""</f>
        <v/>
      </c>
      <c r="I814" t="str">
        <f t="shared" si="90"/>
        <v xml:space="preserve">                                                     </v>
      </c>
      <c r="J814" t="str">
        <f>""</f>
        <v/>
      </c>
    </row>
    <row r="815" spans="1:10">
      <c r="A815" s="1" t="str">
        <f t="shared" si="94"/>
        <v>3d6.4s.(6D&lt;5/2&gt;).5g</v>
      </c>
      <c r="B815" t="str">
        <f>"2[9/2]"</f>
        <v>2[9/2]</v>
      </c>
      <c r="C815" t="str">
        <f>"5"</f>
        <v>5</v>
      </c>
      <c r="D815" t="str">
        <f>""</f>
        <v/>
      </c>
      <c r="E815" t="str">
        <f>"60001.579"</f>
        <v>60001.579</v>
      </c>
      <c r="F815" t="str">
        <f>""</f>
        <v/>
      </c>
      <c r="G815" t="str">
        <f>"0.004"</f>
        <v>0.004</v>
      </c>
      <c r="H815" t="str">
        <f>""</f>
        <v/>
      </c>
      <c r="I815" t="str">
        <f t="shared" si="90"/>
        <v xml:space="preserve">                                                     </v>
      </c>
      <c r="J815" t="str">
        <f>""</f>
        <v/>
      </c>
    </row>
    <row r="816" spans="1:10">
      <c r="A816" s="1" t="str">
        <f>"3d6.4s.(6D&lt;3/2&gt;).6d"</f>
        <v>3d6.4s.(6D&lt;3/2&gt;).6d</v>
      </c>
      <c r="B816" t="str">
        <f>"2[5/2]"</f>
        <v>2[5/2]</v>
      </c>
      <c r="C816" t="str">
        <f>"3"</f>
        <v>3</v>
      </c>
      <c r="D816" t="str">
        <f>""</f>
        <v/>
      </c>
      <c r="E816" t="str">
        <f>"60075.924"</f>
        <v>60075.924</v>
      </c>
      <c r="F816" t="str">
        <f>""</f>
        <v/>
      </c>
      <c r="G816" t="str">
        <f>"0.012"</f>
        <v>0.012</v>
      </c>
      <c r="H816" t="str">
        <f>""</f>
        <v/>
      </c>
      <c r="I816" t="str">
        <f t="shared" si="90"/>
        <v xml:space="preserve">                                                     </v>
      </c>
      <c r="J816" t="str">
        <f>""</f>
        <v/>
      </c>
    </row>
    <row r="817" spans="1:10">
      <c r="A817" s="1" t="str">
        <f>"3d6.4s.(6D&lt;3/2&gt;).6d"</f>
        <v>3d6.4s.(6D&lt;3/2&gt;).6d</v>
      </c>
      <c r="B817" t="str">
        <f>"2[5/2]"</f>
        <v>2[5/2]</v>
      </c>
      <c r="C817" t="str">
        <f>"2"</f>
        <v>2</v>
      </c>
      <c r="D817" t="str">
        <f>""</f>
        <v/>
      </c>
      <c r="E817" t="str">
        <f>"60085.504"</f>
        <v>60085.504</v>
      </c>
      <c r="F817" t="str">
        <f>""</f>
        <v/>
      </c>
      <c r="G817" t="str">
        <f>"0.016"</f>
        <v>0.016</v>
      </c>
      <c r="H817" t="str">
        <f>""</f>
        <v/>
      </c>
      <c r="I817" t="str">
        <f t="shared" si="90"/>
        <v xml:space="preserve">                                                     </v>
      </c>
      <c r="J817" t="str">
        <f>""</f>
        <v/>
      </c>
    </row>
    <row r="818" spans="1:10">
      <c r="A818" s="1" t="str">
        <f>"3d6.(3F2).4s.4p.(1P*)"</f>
        <v>3d6.(3F2).4s.4p.(1P*)</v>
      </c>
      <c r="B818" t="str">
        <f>"3F*"</f>
        <v>3F*</v>
      </c>
      <c r="C818" t="str">
        <f>"4"</f>
        <v>4</v>
      </c>
      <c r="D818" t="str">
        <f>""</f>
        <v/>
      </c>
      <c r="E818" t="str">
        <f>"60095.599"</f>
        <v>60095.599</v>
      </c>
      <c r="F818" t="str">
        <f>""</f>
        <v/>
      </c>
      <c r="G818" t="str">
        <f>"0.003"</f>
        <v>0.003</v>
      </c>
      <c r="H818" t="str">
        <f>""</f>
        <v/>
      </c>
      <c r="I818" t="str">
        <f>"  32             :    33  3d6.(1D2).4s.4p.(3P*) 3F*  "</f>
        <v xml:space="preserve">  32             :    33  3d6.(1D2).4s.4p.(3P*) 3F*  </v>
      </c>
      <c r="J818" t="str">
        <f>""</f>
        <v/>
      </c>
    </row>
    <row r="819" spans="1:10">
      <c r="A819" s="1" t="str">
        <f>"3d6.(3F2).4s.4p.(1P*)"</f>
        <v>3d6.(3F2).4s.4p.(1P*)</v>
      </c>
      <c r="B819" t="str">
        <f>"3F*"</f>
        <v>3F*</v>
      </c>
      <c r="C819" t="str">
        <f>"3"</f>
        <v>3</v>
      </c>
      <c r="D819" t="str">
        <f>""</f>
        <v/>
      </c>
      <c r="E819" t="str">
        <f>"60172.464"</f>
        <v>60172.464</v>
      </c>
      <c r="F819" t="str">
        <f>""</f>
        <v/>
      </c>
      <c r="G819" t="str">
        <f>"0.003"</f>
        <v>0.003</v>
      </c>
      <c r="H819" t="str">
        <f>""</f>
        <v/>
      </c>
      <c r="I819" t="str">
        <f>"  29             :    28  3d6.(1D2).4s.4p.(3P*) 3F*  "</f>
        <v xml:space="preserve">  29             :    28  3d6.(1D2).4s.4p.(3P*) 3F*  </v>
      </c>
      <c r="J819" t="str">
        <f>""</f>
        <v/>
      </c>
    </row>
    <row r="820" spans="1:10">
      <c r="A820" s="1" t="str">
        <f>"3d6.4s.(6D&lt;3/2&gt;).6d"</f>
        <v>3d6.4s.(6D&lt;3/2&gt;).6d</v>
      </c>
      <c r="B820" t="str">
        <f>"2[7/2]"</f>
        <v>2[7/2]</v>
      </c>
      <c r="C820" t="str">
        <f>"3"</f>
        <v>3</v>
      </c>
      <c r="D820" t="str">
        <f>""</f>
        <v/>
      </c>
      <c r="E820" t="str">
        <f>"60097.024"</f>
        <v>60097.024</v>
      </c>
      <c r="F820" t="str">
        <f>""</f>
        <v/>
      </c>
      <c r="G820" t="str">
        <f>"0.013"</f>
        <v>0.013</v>
      </c>
      <c r="H820" t="str">
        <f>""</f>
        <v/>
      </c>
      <c r="I820" t="str">
        <f t="shared" ref="I820:I831" si="95">"                                                     "</f>
        <v xml:space="preserve">                                                     </v>
      </c>
      <c r="J820" t="str">
        <f>""</f>
        <v/>
      </c>
    </row>
    <row r="821" spans="1:10">
      <c r="A821" s="1" t="str">
        <f>"3d6.4s.(6D&lt;1/2&gt;).6d"</f>
        <v>3d6.4s.(6D&lt;1/2&gt;).6d</v>
      </c>
      <c r="B821" t="str">
        <f>"2[3/2]"</f>
        <v>2[3/2]</v>
      </c>
      <c r="C821" t="str">
        <f>"2"</f>
        <v>2</v>
      </c>
      <c r="D821" t="str">
        <f>""</f>
        <v/>
      </c>
      <c r="E821" t="str">
        <f>"60128.60"</f>
        <v>60128.60</v>
      </c>
      <c r="F821" t="str">
        <f>""</f>
        <v/>
      </c>
      <c r="G821" t="str">
        <f>"0.02"</f>
        <v>0.02</v>
      </c>
      <c r="H821" t="str">
        <f>""</f>
        <v/>
      </c>
      <c r="I821" t="str">
        <f t="shared" si="95"/>
        <v xml:space="preserve">                                                     </v>
      </c>
      <c r="J821" t="str">
        <f>""</f>
        <v/>
      </c>
    </row>
    <row r="822" spans="1:10">
      <c r="A822" s="1" t="str">
        <f>"3d6.4s.(6D&lt;1/2&gt;).6d"</f>
        <v>3d6.4s.(6D&lt;1/2&gt;).6d</v>
      </c>
      <c r="B822" t="str">
        <f>"2[3/2]"</f>
        <v>2[3/2]</v>
      </c>
      <c r="C822" t="str">
        <f>"1"</f>
        <v>1</v>
      </c>
      <c r="D822" t="str">
        <f>""</f>
        <v/>
      </c>
      <c r="E822" t="str">
        <f>"60178.254"</f>
        <v>60178.254</v>
      </c>
      <c r="F822" t="str">
        <f>""</f>
        <v/>
      </c>
      <c r="G822" t="str">
        <f>"0.016"</f>
        <v>0.016</v>
      </c>
      <c r="H822" t="str">
        <f>""</f>
        <v/>
      </c>
      <c r="I822" t="str">
        <f t="shared" si="95"/>
        <v xml:space="preserve">                                                     </v>
      </c>
      <c r="J822" t="str">
        <f>""</f>
        <v/>
      </c>
    </row>
    <row r="823" spans="1:10">
      <c r="A823" s="1" t="str">
        <f t="shared" ref="A823:A830" si="96">"3d6.4s.(6D&lt;3/2&gt;).5g"</f>
        <v>3d6.4s.(6D&lt;3/2&gt;).5g</v>
      </c>
      <c r="B823" t="str">
        <f>"2[5/2]"</f>
        <v>2[5/2]</v>
      </c>
      <c r="C823" t="str">
        <f>"2"</f>
        <v>2</v>
      </c>
      <c r="D823" t="str">
        <f>""</f>
        <v/>
      </c>
      <c r="E823" t="str">
        <f>"60192.13"</f>
        <v>60192.13</v>
      </c>
      <c r="F823" t="str">
        <f>""</f>
        <v/>
      </c>
      <c r="G823" t="str">
        <f>"0.02"</f>
        <v>0.02</v>
      </c>
      <c r="H823" t="str">
        <f>""</f>
        <v/>
      </c>
      <c r="I823" t="str">
        <f t="shared" si="95"/>
        <v xml:space="preserve">                                                     </v>
      </c>
      <c r="J823" t="str">
        <f>""</f>
        <v/>
      </c>
    </row>
    <row r="824" spans="1:10">
      <c r="A824" s="1" t="str">
        <f t="shared" si="96"/>
        <v>3d6.4s.(6D&lt;3/2&gt;).5g</v>
      </c>
      <c r="B824" t="str">
        <f>"2[5/2]"</f>
        <v>2[5/2]</v>
      </c>
      <c r="C824" t="str">
        <f>"3"</f>
        <v>3</v>
      </c>
      <c r="D824" t="str">
        <f>""</f>
        <v/>
      </c>
      <c r="E824" t="str">
        <f>"60192.14"</f>
        <v>60192.14</v>
      </c>
      <c r="F824" t="str">
        <f>""</f>
        <v/>
      </c>
      <c r="G824" t="str">
        <f>"0.02"</f>
        <v>0.02</v>
      </c>
      <c r="H824" t="str">
        <f>""</f>
        <v/>
      </c>
      <c r="I824" t="str">
        <f t="shared" si="95"/>
        <v xml:space="preserve">                                                     </v>
      </c>
      <c r="J824" t="str">
        <f>""</f>
        <v/>
      </c>
    </row>
    <row r="825" spans="1:10">
      <c r="A825" s="1" t="str">
        <f t="shared" si="96"/>
        <v>3d6.4s.(6D&lt;3/2&gt;).5g</v>
      </c>
      <c r="B825" t="str">
        <f>"2[11/2]"</f>
        <v>2[11/2]</v>
      </c>
      <c r="C825" t="str">
        <f>"5"</f>
        <v>5</v>
      </c>
      <c r="D825" t="str">
        <f>""</f>
        <v/>
      </c>
      <c r="E825" t="str">
        <f>"60193.670"</f>
        <v>60193.670</v>
      </c>
      <c r="F825" t="str">
        <f>""</f>
        <v/>
      </c>
      <c r="G825" t="str">
        <f>"0.005"</f>
        <v>0.005</v>
      </c>
      <c r="H825" t="str">
        <f>""</f>
        <v/>
      </c>
      <c r="I825" t="str">
        <f t="shared" si="95"/>
        <v xml:space="preserve">                                                     </v>
      </c>
      <c r="J825" t="str">
        <f>""</f>
        <v/>
      </c>
    </row>
    <row r="826" spans="1:10">
      <c r="A826" s="1" t="str">
        <f t="shared" si="96"/>
        <v>3d6.4s.(6D&lt;3/2&gt;).5g</v>
      </c>
      <c r="B826" t="str">
        <f>"2[11/2]"</f>
        <v>2[11/2]</v>
      </c>
      <c r="C826" t="str">
        <f>"6"</f>
        <v>6</v>
      </c>
      <c r="D826" t="str">
        <f>""</f>
        <v/>
      </c>
      <c r="E826" t="str">
        <f>"60193.674"</f>
        <v>60193.674</v>
      </c>
      <c r="F826" t="str">
        <f>""</f>
        <v/>
      </c>
      <c r="G826" t="str">
        <f>"0.007"</f>
        <v>0.007</v>
      </c>
      <c r="H826" t="str">
        <f>""</f>
        <v/>
      </c>
      <c r="I826" t="str">
        <f t="shared" si="95"/>
        <v xml:space="preserve">                                                     </v>
      </c>
      <c r="J826" t="str">
        <f>""</f>
        <v/>
      </c>
    </row>
    <row r="827" spans="1:10">
      <c r="A827" s="1" t="str">
        <f t="shared" si="96"/>
        <v>3d6.4s.(6D&lt;3/2&gt;).5g</v>
      </c>
      <c r="B827" t="str">
        <f>"2[7/2]"</f>
        <v>2[7/2]</v>
      </c>
      <c r="C827" t="str">
        <f>"4"</f>
        <v>4</v>
      </c>
      <c r="D827" t="str">
        <f>""</f>
        <v/>
      </c>
      <c r="E827" t="str">
        <f>"60196.433"</f>
        <v>60196.433</v>
      </c>
      <c r="F827" t="str">
        <f>""</f>
        <v/>
      </c>
      <c r="G827" t="str">
        <f>"0.007"</f>
        <v>0.007</v>
      </c>
      <c r="H827" t="str">
        <f>""</f>
        <v/>
      </c>
      <c r="I827" t="str">
        <f t="shared" si="95"/>
        <v xml:space="preserve">                                                     </v>
      </c>
      <c r="J827" t="str">
        <f>""</f>
        <v/>
      </c>
    </row>
    <row r="828" spans="1:10">
      <c r="A828" s="1" t="str">
        <f t="shared" si="96"/>
        <v>3d6.4s.(6D&lt;3/2&gt;).5g</v>
      </c>
      <c r="B828" t="str">
        <f>"2[7/2]"</f>
        <v>2[7/2]</v>
      </c>
      <c r="C828" t="str">
        <f>"3"</f>
        <v>3</v>
      </c>
      <c r="D828" t="str">
        <f>""</f>
        <v/>
      </c>
      <c r="E828" t="str">
        <f>"60196.434"</f>
        <v>60196.434</v>
      </c>
      <c r="F828" t="str">
        <f>""</f>
        <v/>
      </c>
      <c r="G828" t="str">
        <f>"0.01"</f>
        <v>0.01</v>
      </c>
      <c r="H828" t="str">
        <f>""</f>
        <v/>
      </c>
      <c r="I828" t="str">
        <f t="shared" si="95"/>
        <v xml:space="preserve">                                                     </v>
      </c>
      <c r="J828" t="str">
        <f>""</f>
        <v/>
      </c>
    </row>
    <row r="829" spans="1:10">
      <c r="A829" s="1" t="str">
        <f t="shared" si="96"/>
        <v>3d6.4s.(6D&lt;3/2&gt;).5g</v>
      </c>
      <c r="B829" t="str">
        <f>"2[9/2]"</f>
        <v>2[9/2]</v>
      </c>
      <c r="C829" t="str">
        <f>"4"</f>
        <v>4</v>
      </c>
      <c r="D829" t="str">
        <f>""</f>
        <v/>
      </c>
      <c r="E829" t="str">
        <f>"60197.941"</f>
        <v>60197.941</v>
      </c>
      <c r="F829" t="str">
        <f>""</f>
        <v/>
      </c>
      <c r="G829" t="str">
        <f>"0.003"</f>
        <v>0.003</v>
      </c>
      <c r="H829" t="str">
        <f>""</f>
        <v/>
      </c>
      <c r="I829" t="str">
        <f t="shared" si="95"/>
        <v xml:space="preserve">                                                     </v>
      </c>
      <c r="J829" t="str">
        <f>""</f>
        <v/>
      </c>
    </row>
    <row r="830" spans="1:10">
      <c r="A830" s="1" t="str">
        <f t="shared" si="96"/>
        <v>3d6.4s.(6D&lt;3/2&gt;).5g</v>
      </c>
      <c r="B830" t="str">
        <f>"2[9/2]"</f>
        <v>2[9/2]</v>
      </c>
      <c r="C830" t="str">
        <f>"5"</f>
        <v>5</v>
      </c>
      <c r="D830" t="str">
        <f>""</f>
        <v/>
      </c>
      <c r="E830" t="str">
        <f>"60197.944"</f>
        <v>60197.944</v>
      </c>
      <c r="F830" t="str">
        <f>""</f>
        <v/>
      </c>
      <c r="G830" t="str">
        <f>"0.006"</f>
        <v>0.006</v>
      </c>
      <c r="H830" t="str">
        <f>""</f>
        <v/>
      </c>
      <c r="I830" t="str">
        <f t="shared" si="95"/>
        <v xml:space="preserve">                                                     </v>
      </c>
      <c r="J830" t="str">
        <f>""</f>
        <v/>
      </c>
    </row>
    <row r="831" spans="1:10">
      <c r="A831" s="1" t="str">
        <f>"3d6.4s.(4D).4d"</f>
        <v>3d6.4s.(4D).4d</v>
      </c>
      <c r="B831" t="str">
        <f>"3P"</f>
        <v>3P</v>
      </c>
      <c r="C831" t="str">
        <f>"1"</f>
        <v>1</v>
      </c>
      <c r="D831" t="str">
        <f>""</f>
        <v/>
      </c>
      <c r="E831" t="str">
        <f>"60215.243"</f>
        <v>60215.243</v>
      </c>
      <c r="F831" t="str">
        <f>""</f>
        <v/>
      </c>
      <c r="G831" t="str">
        <f>"0.003"</f>
        <v>0.003</v>
      </c>
      <c r="H831" t="str">
        <f>""</f>
        <v/>
      </c>
      <c r="I831" t="str">
        <f t="shared" si="95"/>
        <v xml:space="preserve">                                                     </v>
      </c>
      <c r="J831" t="str">
        <f>""</f>
        <v/>
      </c>
    </row>
    <row r="832" spans="1:10">
      <c r="A832" s="1" t="str">
        <f>"3d6.(3F2).4s.4p.(1P*)"</f>
        <v>3d6.(3F2).4s.4p.(1P*)</v>
      </c>
      <c r="B832" t="str">
        <f>"r 3G*"</f>
        <v>r 3G*</v>
      </c>
      <c r="C832" t="str">
        <f>"5"</f>
        <v>5</v>
      </c>
      <c r="D832" t="str">
        <f>""</f>
        <v/>
      </c>
      <c r="E832" t="str">
        <f>"60254.170"</f>
        <v>60254.170</v>
      </c>
      <c r="F832" t="str">
        <f>""</f>
        <v/>
      </c>
      <c r="G832" t="str">
        <f>"0.003"</f>
        <v>0.003</v>
      </c>
      <c r="H832" t="str">
        <f>""</f>
        <v/>
      </c>
      <c r="I832" t="str">
        <f>"  81             :     8  3d6.(3H).4s.4p.(1P*)  3H*  "</f>
        <v xml:space="preserve">  81             :     8  3d6.(3H).4s.4p.(1P*)  3H*  </v>
      </c>
      <c r="J832" t="str">
        <f>""</f>
        <v/>
      </c>
    </row>
    <row r="833" spans="1:10">
      <c r="A833" s="1" t="str">
        <f>"3d6.(3F2).4s.4p.(1P*)"</f>
        <v>3d6.(3F2).4s.4p.(1P*)</v>
      </c>
      <c r="B833" t="str">
        <f>"r 3G*"</f>
        <v>r 3G*</v>
      </c>
      <c r="C833" t="str">
        <f>"4"</f>
        <v>4</v>
      </c>
      <c r="D833" t="str">
        <f>""</f>
        <v/>
      </c>
      <c r="E833" t="str">
        <f>"60466.164"</f>
        <v>60466.164</v>
      </c>
      <c r="F833" t="str">
        <f>""</f>
        <v/>
      </c>
      <c r="G833" t="str">
        <f>"0.004"</f>
        <v>0.004</v>
      </c>
      <c r="H833" t="str">
        <f>""</f>
        <v/>
      </c>
      <c r="I833" t="str">
        <f>"  65             :    25  3d6.(1D2).4s.4p.(3P*) 3F*  "</f>
        <v xml:space="preserve">  65             :    25  3d6.(1D2).4s.4p.(3P*) 3F*  </v>
      </c>
      <c r="J833" t="str">
        <f>""</f>
        <v/>
      </c>
    </row>
    <row r="834" spans="1:10">
      <c r="A834" s="1" t="str">
        <f>"3d6.(3F2).4s.4p.(1P*)"</f>
        <v>3d6.(3F2).4s.4p.(1P*)</v>
      </c>
      <c r="B834" t="str">
        <f>"r 3G*"</f>
        <v>r 3G*</v>
      </c>
      <c r="C834" t="str">
        <f>"3"</f>
        <v>3</v>
      </c>
      <c r="D834" t="str">
        <f>""</f>
        <v/>
      </c>
      <c r="E834" t="str">
        <f>"60563.614"</f>
        <v>60563.614</v>
      </c>
      <c r="F834" t="str">
        <f>""</f>
        <v/>
      </c>
      <c r="G834" t="str">
        <f>"0.005"</f>
        <v>0.005</v>
      </c>
      <c r="H834" t="str">
        <f>""</f>
        <v/>
      </c>
      <c r="I834" t="str">
        <f>"  63             :    17  3d6.(1D2).4s.4p.(3P*) 3F*  "</f>
        <v xml:space="preserve">  63             :    17  3d6.(1D2).4s.4p.(3P*) 3F*  </v>
      </c>
      <c r="J834" t="str">
        <f>""</f>
        <v/>
      </c>
    </row>
    <row r="835" spans="1:10">
      <c r="A835" s="1" t="str">
        <f>"3d6.4s.(6D&lt;1/2&gt;).5g"</f>
        <v>3d6.4s.(6D&lt;1/2&gt;).5g</v>
      </c>
      <c r="B835" t="str">
        <f>"2[9/2]"</f>
        <v>2[9/2]</v>
      </c>
      <c r="C835" t="str">
        <f>"5"</f>
        <v>5</v>
      </c>
      <c r="D835" t="str">
        <f>""</f>
        <v/>
      </c>
      <c r="E835" t="str">
        <f>"60309.69"</f>
        <v>60309.69</v>
      </c>
      <c r="F835" t="str">
        <f>""</f>
        <v/>
      </c>
      <c r="G835" t="str">
        <f>"0.02"</f>
        <v>0.02</v>
      </c>
      <c r="H835" t="str">
        <f>""</f>
        <v/>
      </c>
      <c r="I835" t="str">
        <f>"                                                     "</f>
        <v xml:space="preserve">                                                     </v>
      </c>
      <c r="J835" t="str">
        <f>""</f>
        <v/>
      </c>
    </row>
    <row r="836" spans="1:10">
      <c r="A836" s="1" t="str">
        <f>"3d6.4s.(6D&lt;1/2&gt;).5g"</f>
        <v>3d6.4s.(6D&lt;1/2&gt;).5g</v>
      </c>
      <c r="B836" t="str">
        <f>"2[9/2]"</f>
        <v>2[9/2]</v>
      </c>
      <c r="C836" t="str">
        <f>"4"</f>
        <v>4</v>
      </c>
      <c r="D836" t="str">
        <f>""</f>
        <v/>
      </c>
      <c r="E836" t="str">
        <f>"60309.704"</f>
        <v>60309.704</v>
      </c>
      <c r="F836" t="str">
        <f>""</f>
        <v/>
      </c>
      <c r="G836" t="str">
        <f>"0.01"</f>
        <v>0.01</v>
      </c>
      <c r="H836" t="str">
        <f>""</f>
        <v/>
      </c>
      <c r="I836" t="str">
        <f>"                                                     "</f>
        <v xml:space="preserve">                                                     </v>
      </c>
      <c r="J836" t="str">
        <f>""</f>
        <v/>
      </c>
    </row>
    <row r="837" spans="1:10">
      <c r="A837" s="1" t="str">
        <f>"3d6.4s.(6D&lt;1/2&gt;).5g"</f>
        <v>3d6.4s.(6D&lt;1/2&gt;).5g</v>
      </c>
      <c r="B837" t="str">
        <f>"2[7/2]"</f>
        <v>2[7/2]</v>
      </c>
      <c r="C837" t="str">
        <f>"4"</f>
        <v>4</v>
      </c>
      <c r="D837" t="str">
        <f>""</f>
        <v/>
      </c>
      <c r="E837" t="str">
        <f>"60309.715"</f>
        <v>60309.715</v>
      </c>
      <c r="F837" t="str">
        <f>""</f>
        <v/>
      </c>
      <c r="G837" t="str">
        <f>"0.006"</f>
        <v>0.006</v>
      </c>
      <c r="H837" t="str">
        <f>""</f>
        <v/>
      </c>
      <c r="I837" t="str">
        <f>"                                                     "</f>
        <v xml:space="preserve">                                                     </v>
      </c>
      <c r="J837" t="str">
        <f>""</f>
        <v/>
      </c>
    </row>
    <row r="838" spans="1:10">
      <c r="A838" s="1" t="str">
        <f>"3d6.4s.(6D&lt;1/2&gt;).5g"</f>
        <v>3d6.4s.(6D&lt;1/2&gt;).5g</v>
      </c>
      <c r="B838" t="str">
        <f>"2[7/2]"</f>
        <v>2[7/2]</v>
      </c>
      <c r="C838" t="str">
        <f>"3"</f>
        <v>3</v>
      </c>
      <c r="D838" t="str">
        <f>""</f>
        <v/>
      </c>
      <c r="E838" t="str">
        <f>"60309.721"</f>
        <v>60309.721</v>
      </c>
      <c r="F838" t="str">
        <f>""</f>
        <v/>
      </c>
      <c r="G838" t="str">
        <f>"0.005"</f>
        <v>0.005</v>
      </c>
      <c r="H838" t="str">
        <f>""</f>
        <v/>
      </c>
      <c r="I838" t="str">
        <f>"                                                     "</f>
        <v xml:space="preserve">                                                     </v>
      </c>
      <c r="J838" t="str">
        <f>""</f>
        <v/>
      </c>
    </row>
    <row r="839" spans="1:10">
      <c r="A839" s="1" t="str">
        <f>"3d6.(3H).4s.4p.(1P*)"</f>
        <v>3d6.(3H).4s.4p.(1P*)</v>
      </c>
      <c r="B839" t="str">
        <f>"t 3H*"</f>
        <v>t 3H*</v>
      </c>
      <c r="C839" t="str">
        <f>"6"</f>
        <v>6</v>
      </c>
      <c r="D839" t="str">
        <f>""</f>
        <v/>
      </c>
      <c r="E839" t="str">
        <f>"60365.637"</f>
        <v>60365.637</v>
      </c>
      <c r="F839" t="str">
        <f>""</f>
        <v/>
      </c>
      <c r="G839" t="str">
        <f>"0.004"</f>
        <v>0.004</v>
      </c>
      <c r="H839" t="str">
        <f>"1.163"</f>
        <v>1.163</v>
      </c>
      <c r="I839" t="str">
        <f>"  59             :    25  3d7.(2H).4p           3H*  "</f>
        <v xml:space="preserve">  59             :    25  3d7.(2H).4p           3H*  </v>
      </c>
      <c r="J839" t="str">
        <f>""</f>
        <v/>
      </c>
    </row>
    <row r="840" spans="1:10">
      <c r="A840" s="1" t="str">
        <f>"3d6.(3H).4s.4p.(1P*)"</f>
        <v>3d6.(3H).4s.4p.(1P*)</v>
      </c>
      <c r="B840" t="str">
        <f>"t 3H*"</f>
        <v>t 3H*</v>
      </c>
      <c r="C840" t="str">
        <f>"5"</f>
        <v>5</v>
      </c>
      <c r="D840" t="str">
        <f>""</f>
        <v/>
      </c>
      <c r="E840" t="str">
        <f>"60549.116"</f>
        <v>60549.116</v>
      </c>
      <c r="F840" t="str">
        <f>""</f>
        <v/>
      </c>
      <c r="G840" t="str">
        <f>"0.004"</f>
        <v>0.004</v>
      </c>
      <c r="H840" t="str">
        <f>"1.040"</f>
        <v>1.040</v>
      </c>
      <c r="I840" t="str">
        <f>"  49             :    22  3d7.(2H).4p           3H*  "</f>
        <v xml:space="preserve">  49             :    22  3d7.(2H).4p           3H*  </v>
      </c>
      <c r="J840" t="str">
        <f>""</f>
        <v/>
      </c>
    </row>
    <row r="841" spans="1:10">
      <c r="A841" s="1" t="str">
        <f>"3d6.(3H).4s.4p.(1P*)"</f>
        <v>3d6.(3H).4s.4p.(1P*)</v>
      </c>
      <c r="B841" t="str">
        <f>"t 3H*"</f>
        <v>t 3H*</v>
      </c>
      <c r="C841" t="str">
        <f>"4"</f>
        <v>4</v>
      </c>
      <c r="D841" t="str">
        <f>""</f>
        <v/>
      </c>
      <c r="E841" t="str">
        <f>"60757.596"</f>
        <v>60757.596</v>
      </c>
      <c r="F841" t="str">
        <f>""</f>
        <v/>
      </c>
      <c r="G841" t="str">
        <f>"0.003"</f>
        <v>0.003</v>
      </c>
      <c r="H841" t="str">
        <f>"0.805"</f>
        <v>0.805</v>
      </c>
      <c r="I841" t="str">
        <f>"  50             :    22  3d7.(2H).4p           3H*  "</f>
        <v xml:space="preserve">  50             :    22  3d7.(2H).4p           3H*  </v>
      </c>
      <c r="J841" t="str">
        <f>""</f>
        <v/>
      </c>
    </row>
    <row r="842" spans="1:10">
      <c r="A842" s="1" t="str">
        <f>"3d6.(3F2).4s.4p.(1P*)"</f>
        <v>3d6.(3F2).4s.4p.(1P*)</v>
      </c>
      <c r="B842" t="str">
        <f>"3D*"</f>
        <v>3D*</v>
      </c>
      <c r="C842" t="str">
        <f>"3"</f>
        <v>3</v>
      </c>
      <c r="D842" t="str">
        <f>""</f>
        <v/>
      </c>
      <c r="E842" t="str">
        <f>"60806.670"</f>
        <v>60806.670</v>
      </c>
      <c r="F842" t="str">
        <f>""</f>
        <v/>
      </c>
      <c r="G842" t="str">
        <f>"0.003"</f>
        <v>0.003</v>
      </c>
      <c r="H842" t="str">
        <f>""</f>
        <v/>
      </c>
      <c r="I842" t="str">
        <f>"  59             :     9  3d7.(2F).4p           3D*  "</f>
        <v xml:space="preserve">  59             :     9  3d7.(2F).4p           3D*  </v>
      </c>
      <c r="J842" t="str">
        <f>""</f>
        <v/>
      </c>
    </row>
    <row r="843" spans="1:10">
      <c r="A843" s="1" t="str">
        <f>""</f>
        <v/>
      </c>
      <c r="B843" t="str">
        <f>"61724e"</f>
        <v>61724e</v>
      </c>
      <c r="C843" t="str">
        <f>"4"</f>
        <v>4</v>
      </c>
      <c r="D843" t="str">
        <f>""</f>
        <v/>
      </c>
      <c r="E843" t="str">
        <f>"61724.829"</f>
        <v>61724.829</v>
      </c>
      <c r="F843" t="str">
        <f>""</f>
        <v/>
      </c>
      <c r="G843" t="str">
        <f>"0.004"</f>
        <v>0.004</v>
      </c>
      <c r="H843" t="str">
        <f>""</f>
        <v/>
      </c>
      <c r="I843" t="str">
        <f t="shared" ref="I843:I848" si="97">"                                                     "</f>
        <v xml:space="preserve">                                                     </v>
      </c>
      <c r="J843" t="str">
        <f>""</f>
        <v/>
      </c>
    </row>
    <row r="844" spans="1:10">
      <c r="A844" s="1" t="str">
        <f>""</f>
        <v/>
      </c>
      <c r="B844" t="str">
        <f>"62079e"</f>
        <v>62079e</v>
      </c>
      <c r="C844" t="str">
        <f>"6"</f>
        <v>6</v>
      </c>
      <c r="D844" t="str">
        <f>""</f>
        <v/>
      </c>
      <c r="E844" t="str">
        <f>"62079.322"</f>
        <v>62079.322</v>
      </c>
      <c r="F844" t="str">
        <f>""</f>
        <v/>
      </c>
      <c r="G844" t="str">
        <f>"0.004"</f>
        <v>0.004</v>
      </c>
      <c r="H844" t="str">
        <f>""</f>
        <v/>
      </c>
      <c r="I844" t="str">
        <f t="shared" si="97"/>
        <v xml:space="preserve">                                                     </v>
      </c>
      <c r="J844" t="str">
        <f>""</f>
        <v/>
      </c>
    </row>
    <row r="845" spans="1:10">
      <c r="A845" s="1" t="str">
        <f>""</f>
        <v/>
      </c>
      <c r="B845" t="str">
        <f>"62192e"</f>
        <v>62192e</v>
      </c>
      <c r="C845" t="str">
        <f>"5"</f>
        <v>5</v>
      </c>
      <c r="D845" t="str">
        <f>""</f>
        <v/>
      </c>
      <c r="E845" t="str">
        <f>"62192.735"</f>
        <v>62192.735</v>
      </c>
      <c r="F845" t="str">
        <f>""</f>
        <v/>
      </c>
      <c r="G845" t="str">
        <f>"0.01"</f>
        <v>0.01</v>
      </c>
      <c r="H845" t="str">
        <f>""</f>
        <v/>
      </c>
      <c r="I845" t="str">
        <f t="shared" si="97"/>
        <v xml:space="preserve">                                                     </v>
      </c>
      <c r="J845" t="str">
        <f>""</f>
        <v/>
      </c>
    </row>
    <row r="846" spans="1:10">
      <c r="A846" s="1" t="str">
        <f>""</f>
        <v/>
      </c>
      <c r="B846" t="str">
        <f>"62377e"</f>
        <v>62377e</v>
      </c>
      <c r="C846" t="str">
        <f>"4"</f>
        <v>4</v>
      </c>
      <c r="D846" t="str">
        <f>""</f>
        <v/>
      </c>
      <c r="E846" t="str">
        <f>"62377.66"</f>
        <v>62377.66</v>
      </c>
      <c r="F846" t="str">
        <f>""</f>
        <v/>
      </c>
      <c r="G846" t="str">
        <f>"0.03"</f>
        <v>0.03</v>
      </c>
      <c r="H846" t="str">
        <f>""</f>
        <v/>
      </c>
      <c r="I846" t="str">
        <f t="shared" si="97"/>
        <v xml:space="preserve">                                                     </v>
      </c>
      <c r="J846" t="str">
        <f>""</f>
        <v/>
      </c>
    </row>
    <row r="847" spans="1:10">
      <c r="A847" s="1" t="str">
        <f>"3d6.(3G).4s.4p.(1P*)"</f>
        <v>3d6.(3G).4s.4p.(1P*)</v>
      </c>
      <c r="B847" t="str">
        <f>"3H*"</f>
        <v>3H*</v>
      </c>
      <c r="C847" t="str">
        <f>"6"</f>
        <v>6</v>
      </c>
      <c r="D847" t="str">
        <f>""</f>
        <v/>
      </c>
      <c r="E847" t="str">
        <f>"63035.756"</f>
        <v>63035.756</v>
      </c>
      <c r="F847" t="str">
        <f>""</f>
        <v/>
      </c>
      <c r="G847" t="str">
        <f>"0.005"</f>
        <v>0.005</v>
      </c>
      <c r="H847" t="str">
        <f>""</f>
        <v/>
      </c>
      <c r="I847" t="str">
        <f t="shared" si="97"/>
        <v xml:space="preserve">                                                     </v>
      </c>
      <c r="J847" t="str">
        <f>""</f>
        <v/>
      </c>
    </row>
    <row r="848" spans="1:10">
      <c r="A848" s="1" t="str">
        <f>"Fe II (3d6.4s 6D&lt;9/2&gt;)"</f>
        <v>Fe II (3d6.4s 6D&lt;9/2&gt;)</v>
      </c>
      <c r="B848" t="str">
        <f>"Limit"</f>
        <v>Limit</v>
      </c>
      <c r="C848" t="str">
        <f>"---"</f>
        <v>---</v>
      </c>
      <c r="D848" t="str">
        <f>""</f>
        <v/>
      </c>
      <c r="E848" t="str">
        <f>"63737.704"</f>
        <v>63737.704</v>
      </c>
      <c r="F848" t="str">
        <f>""</f>
        <v/>
      </c>
      <c r="G848" t="str">
        <f>"0.010"</f>
        <v>0.010</v>
      </c>
      <c r="H848" t="str">
        <f>""</f>
        <v/>
      </c>
      <c r="I848" t="str">
        <f t="shared" si="97"/>
        <v xml:space="preserve">                                                     </v>
      </c>
      <c r="J848" t="str">
        <f>"L7743c109"</f>
        <v>L7743c109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6767-669F-4631-BB60-06E314250D6C}">
  <dimension ref="A1:I330"/>
  <sheetViews>
    <sheetView tabSelected="1" workbookViewId="0"/>
  </sheetViews>
  <sheetFormatPr defaultRowHeight="15"/>
  <cols>
    <col min="1" max="1" width="17.42578125" bestFit="1" customWidth="1"/>
    <col min="2" max="2" width="8.710937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10</v>
      </c>
      <c r="B2" t="s">
        <v>11</v>
      </c>
      <c r="C2">
        <v>5</v>
      </c>
      <c r="E2">
        <v>0</v>
      </c>
      <c r="H2">
        <v>1.397</v>
      </c>
      <c r="I2" t="s">
        <v>12</v>
      </c>
    </row>
    <row r="3" spans="1:9">
      <c r="A3" t="s">
        <v>10</v>
      </c>
      <c r="B3" t="s">
        <v>11</v>
      </c>
      <c r="C3">
        <v>4</v>
      </c>
      <c r="E3">
        <v>1190.6400000000001</v>
      </c>
      <c r="H3">
        <v>1.349</v>
      </c>
    </row>
    <row r="4" spans="1:9">
      <c r="A4" t="s">
        <v>10</v>
      </c>
      <c r="B4" t="s">
        <v>11</v>
      </c>
      <c r="C4">
        <v>3</v>
      </c>
      <c r="E4">
        <v>2091.54</v>
      </c>
      <c r="H4">
        <v>1.2490000000000001</v>
      </c>
    </row>
    <row r="5" spans="1:9">
      <c r="A5" t="s">
        <v>10</v>
      </c>
      <c r="B5" t="s">
        <v>11</v>
      </c>
      <c r="C5">
        <v>2</v>
      </c>
      <c r="E5">
        <v>2713.24</v>
      </c>
      <c r="H5">
        <v>1</v>
      </c>
    </row>
    <row r="6" spans="1:9">
      <c r="A6" t="s">
        <v>10</v>
      </c>
      <c r="B6" t="s">
        <v>11</v>
      </c>
      <c r="C6">
        <v>1</v>
      </c>
      <c r="E6">
        <v>3105.49</v>
      </c>
      <c r="H6">
        <v>0</v>
      </c>
    </row>
    <row r="7" spans="1:9">
      <c r="A7" t="s">
        <v>10</v>
      </c>
      <c r="B7" t="s">
        <v>13</v>
      </c>
      <c r="C7">
        <v>4</v>
      </c>
      <c r="E7">
        <v>6545.03</v>
      </c>
      <c r="H7">
        <v>1.284</v>
      </c>
    </row>
    <row r="8" spans="1:9">
      <c r="A8" t="s">
        <v>10</v>
      </c>
      <c r="B8" t="s">
        <v>13</v>
      </c>
      <c r="C8">
        <v>3</v>
      </c>
      <c r="E8">
        <v>8084.12</v>
      </c>
      <c r="H8">
        <v>1.196</v>
      </c>
    </row>
    <row r="9" spans="1:9">
      <c r="A9" t="s">
        <v>10</v>
      </c>
      <c r="B9" t="s">
        <v>13</v>
      </c>
      <c r="C9">
        <v>2</v>
      </c>
      <c r="E9">
        <v>9183.66</v>
      </c>
      <c r="H9">
        <v>1.089</v>
      </c>
    </row>
    <row r="10" spans="1:9">
      <c r="A10" t="s">
        <v>14</v>
      </c>
      <c r="B10" t="s">
        <v>15</v>
      </c>
      <c r="C10">
        <v>4</v>
      </c>
      <c r="E10">
        <v>7483.07</v>
      </c>
      <c r="H10">
        <v>1.4470000000000001</v>
      </c>
    </row>
    <row r="11" spans="1:9">
      <c r="A11" t="s">
        <v>14</v>
      </c>
      <c r="B11" t="s">
        <v>15</v>
      </c>
      <c r="C11">
        <v>3</v>
      </c>
      <c r="E11">
        <v>8575.42</v>
      </c>
      <c r="H11">
        <v>1.42</v>
      </c>
    </row>
    <row r="12" spans="1:9">
      <c r="A12" t="s">
        <v>14</v>
      </c>
      <c r="B12" t="s">
        <v>15</v>
      </c>
      <c r="C12">
        <v>2</v>
      </c>
      <c r="E12">
        <v>9057.64</v>
      </c>
      <c r="H12">
        <v>1.232</v>
      </c>
    </row>
    <row r="13" spans="1:9">
      <c r="A13" t="s">
        <v>14</v>
      </c>
      <c r="B13" t="s">
        <v>15</v>
      </c>
      <c r="C13">
        <v>1</v>
      </c>
      <c r="E13">
        <v>9072.98</v>
      </c>
      <c r="H13">
        <v>1.7949999999999999</v>
      </c>
    </row>
    <row r="14" spans="1:9">
      <c r="A14" t="s">
        <v>14</v>
      </c>
      <c r="B14" t="s">
        <v>15</v>
      </c>
      <c r="C14">
        <v>0</v>
      </c>
      <c r="E14">
        <v>9492.3700000000008</v>
      </c>
      <c r="H14">
        <v>0</v>
      </c>
    </row>
    <row r="15" spans="1:9">
      <c r="A15" t="s">
        <v>16</v>
      </c>
      <c r="B15" t="s">
        <v>17</v>
      </c>
      <c r="C15">
        <v>2</v>
      </c>
      <c r="E15">
        <v>8043.69</v>
      </c>
      <c r="H15">
        <v>1.536</v>
      </c>
    </row>
    <row r="16" spans="1:9">
      <c r="A16" t="s">
        <v>16</v>
      </c>
      <c r="B16" t="s">
        <v>17</v>
      </c>
      <c r="C16">
        <v>3</v>
      </c>
      <c r="E16">
        <v>8770.93</v>
      </c>
      <c r="H16">
        <v>1.6240000000000001</v>
      </c>
    </row>
    <row r="17" spans="1:8">
      <c r="A17" t="s">
        <v>16</v>
      </c>
      <c r="B17" t="s">
        <v>17</v>
      </c>
      <c r="C17">
        <v>1</v>
      </c>
      <c r="E17">
        <v>9620.2900000000009</v>
      </c>
      <c r="H17">
        <v>1.9850000000000001</v>
      </c>
    </row>
    <row r="18" spans="1:8">
      <c r="A18" t="s">
        <v>18</v>
      </c>
      <c r="B18" t="s">
        <v>19</v>
      </c>
      <c r="C18">
        <v>4</v>
      </c>
      <c r="E18">
        <v>9120.6299999999992</v>
      </c>
      <c r="H18">
        <v>1.2549999999999999</v>
      </c>
    </row>
    <row r="19" spans="1:8">
      <c r="A19" t="s">
        <v>18</v>
      </c>
      <c r="B19" t="s">
        <v>19</v>
      </c>
      <c r="C19">
        <v>3</v>
      </c>
      <c r="E19">
        <v>10654.62</v>
      </c>
      <c r="H19">
        <v>1.0860000000000001</v>
      </c>
    </row>
    <row r="20" spans="1:8">
      <c r="A20" t="s">
        <v>18</v>
      </c>
      <c r="B20" t="s">
        <v>19</v>
      </c>
      <c r="C20">
        <v>2</v>
      </c>
      <c r="E20">
        <v>11447.31</v>
      </c>
      <c r="H20">
        <v>0.76400000000000001</v>
      </c>
    </row>
    <row r="21" spans="1:8">
      <c r="A21" t="s">
        <v>20</v>
      </c>
      <c r="B21" t="s">
        <v>21</v>
      </c>
      <c r="C21">
        <v>2</v>
      </c>
      <c r="E21">
        <v>10623.53</v>
      </c>
      <c r="H21">
        <v>1.534</v>
      </c>
    </row>
    <row r="22" spans="1:8">
      <c r="A22" t="s">
        <v>20</v>
      </c>
      <c r="B22" t="s">
        <v>21</v>
      </c>
      <c r="C22">
        <v>0</v>
      </c>
      <c r="E22">
        <v>11752.62</v>
      </c>
      <c r="H22">
        <v>0</v>
      </c>
    </row>
    <row r="23" spans="1:8">
      <c r="A23" t="s">
        <v>20</v>
      </c>
      <c r="B23" t="s">
        <v>21</v>
      </c>
      <c r="C23">
        <v>1</v>
      </c>
      <c r="E23">
        <v>11786.05</v>
      </c>
      <c r="H23">
        <v>1.6839999999999999</v>
      </c>
    </row>
    <row r="24" spans="1:8">
      <c r="A24" t="s">
        <v>22</v>
      </c>
      <c r="B24" t="s">
        <v>23</v>
      </c>
      <c r="C24">
        <v>5</v>
      </c>
      <c r="E24">
        <v>12207.05</v>
      </c>
      <c r="H24">
        <v>1.19</v>
      </c>
    </row>
    <row r="25" spans="1:8">
      <c r="A25" t="s">
        <v>22</v>
      </c>
      <c r="B25" t="s">
        <v>23</v>
      </c>
      <c r="C25">
        <v>4</v>
      </c>
      <c r="E25">
        <v>12816.69</v>
      </c>
      <c r="H25">
        <v>1.0329999999999999</v>
      </c>
    </row>
    <row r="26" spans="1:8">
      <c r="A26" t="s">
        <v>22</v>
      </c>
      <c r="B26" t="s">
        <v>23</v>
      </c>
      <c r="C26">
        <v>3</v>
      </c>
      <c r="E26">
        <v>13699.07</v>
      </c>
      <c r="H26">
        <v>0.75700000000000001</v>
      </c>
    </row>
    <row r="27" spans="1:8">
      <c r="A27" t="s">
        <v>16</v>
      </c>
      <c r="B27" t="s">
        <v>24</v>
      </c>
      <c r="C27">
        <v>2</v>
      </c>
      <c r="E27">
        <v>13645.75</v>
      </c>
      <c r="H27">
        <v>1.3149999999999999</v>
      </c>
    </row>
    <row r="28" spans="1:8">
      <c r="A28" t="s">
        <v>16</v>
      </c>
      <c r="B28" t="s">
        <v>24</v>
      </c>
      <c r="C28">
        <v>1</v>
      </c>
      <c r="E28">
        <v>13981.67</v>
      </c>
      <c r="H28">
        <v>1.4410000000000001</v>
      </c>
    </row>
    <row r="29" spans="1:8">
      <c r="A29" t="s">
        <v>16</v>
      </c>
      <c r="B29" t="s">
        <v>24</v>
      </c>
      <c r="C29">
        <v>0</v>
      </c>
      <c r="E29">
        <v>14827.5</v>
      </c>
      <c r="H29">
        <v>0</v>
      </c>
    </row>
    <row r="30" spans="1:8">
      <c r="A30" t="s">
        <v>22</v>
      </c>
      <c r="B30" t="s">
        <v>25</v>
      </c>
      <c r="C30">
        <v>4</v>
      </c>
      <c r="E30">
        <v>14700.32</v>
      </c>
      <c r="H30">
        <v>0.99199999999999999</v>
      </c>
    </row>
    <row r="31" spans="1:8">
      <c r="A31" t="s">
        <v>26</v>
      </c>
      <c r="B31" t="s">
        <v>27</v>
      </c>
      <c r="C31">
        <v>2</v>
      </c>
      <c r="E31">
        <v>15054.07</v>
      </c>
      <c r="H31">
        <v>1.1619999999999999</v>
      </c>
    </row>
    <row r="32" spans="1:8">
      <c r="A32" t="s">
        <v>26</v>
      </c>
      <c r="B32" t="s">
        <v>27</v>
      </c>
      <c r="C32">
        <v>3</v>
      </c>
      <c r="E32">
        <v>16190.61</v>
      </c>
      <c r="H32">
        <v>1.333</v>
      </c>
    </row>
    <row r="33" spans="1:8">
      <c r="A33" t="s">
        <v>26</v>
      </c>
      <c r="B33" t="s">
        <v>27</v>
      </c>
      <c r="C33">
        <v>1</v>
      </c>
      <c r="E33">
        <v>16712.580000000002</v>
      </c>
      <c r="H33">
        <v>0.67600000000000005</v>
      </c>
    </row>
    <row r="34" spans="1:8">
      <c r="A34" t="s">
        <v>28</v>
      </c>
      <c r="B34" t="s">
        <v>29</v>
      </c>
      <c r="C34">
        <v>6</v>
      </c>
      <c r="E34">
        <v>15550.16</v>
      </c>
      <c r="H34">
        <v>1.1639999999999999</v>
      </c>
    </row>
    <row r="35" spans="1:8">
      <c r="A35" t="s">
        <v>28</v>
      </c>
      <c r="B35" t="s">
        <v>29</v>
      </c>
      <c r="C35">
        <v>5</v>
      </c>
      <c r="E35">
        <v>16240.13</v>
      </c>
      <c r="H35">
        <v>1.0409999999999999</v>
      </c>
    </row>
    <row r="36" spans="1:8">
      <c r="A36" t="s">
        <v>28</v>
      </c>
      <c r="B36" t="s">
        <v>29</v>
      </c>
      <c r="C36">
        <v>4</v>
      </c>
      <c r="E36">
        <v>17096.87</v>
      </c>
      <c r="H36">
        <v>0.83399999999999996</v>
      </c>
    </row>
    <row r="37" spans="1:8">
      <c r="A37" t="s">
        <v>26</v>
      </c>
      <c r="B37" t="s">
        <v>30</v>
      </c>
      <c r="C37">
        <v>2</v>
      </c>
      <c r="E37">
        <v>17045.97</v>
      </c>
      <c r="H37">
        <v>1.175</v>
      </c>
    </row>
    <row r="38" spans="1:8">
      <c r="A38" t="s">
        <v>28</v>
      </c>
      <c r="B38" t="s">
        <v>31</v>
      </c>
      <c r="C38">
        <v>5</v>
      </c>
      <c r="E38">
        <v>20055.71</v>
      </c>
      <c r="H38">
        <v>1.0069999999999999</v>
      </c>
    </row>
    <row r="39" spans="1:8">
      <c r="A39" t="s">
        <v>20</v>
      </c>
      <c r="B39" t="s">
        <v>32</v>
      </c>
      <c r="C39">
        <v>1</v>
      </c>
      <c r="E39">
        <v>20242.009999999998</v>
      </c>
      <c r="H39">
        <v>0.92700000000000005</v>
      </c>
    </row>
    <row r="40" spans="1:8">
      <c r="A40" t="s">
        <v>18</v>
      </c>
      <c r="B40" t="s">
        <v>33</v>
      </c>
      <c r="C40">
        <v>2</v>
      </c>
      <c r="E40">
        <v>20933.75</v>
      </c>
      <c r="H40">
        <v>1.343</v>
      </c>
    </row>
    <row r="41" spans="1:8">
      <c r="A41" t="s">
        <v>18</v>
      </c>
      <c r="B41" t="s">
        <v>33</v>
      </c>
      <c r="C41">
        <v>1</v>
      </c>
      <c r="E41">
        <v>22292.639999999999</v>
      </c>
      <c r="H41">
        <v>1.35</v>
      </c>
    </row>
    <row r="42" spans="1:8">
      <c r="A42" t="s">
        <v>18</v>
      </c>
      <c r="B42" t="s">
        <v>33</v>
      </c>
      <c r="C42">
        <v>0</v>
      </c>
      <c r="E42">
        <v>24173.68</v>
      </c>
      <c r="F42" t="s">
        <v>34</v>
      </c>
    </row>
    <row r="43" spans="1:8">
      <c r="A43" t="s">
        <v>14</v>
      </c>
      <c r="B43" t="s">
        <v>35</v>
      </c>
      <c r="C43">
        <v>4</v>
      </c>
      <c r="E43">
        <v>21643.09</v>
      </c>
      <c r="H43">
        <v>1.08</v>
      </c>
    </row>
    <row r="44" spans="1:8">
      <c r="A44" t="s">
        <v>14</v>
      </c>
      <c r="B44" t="s">
        <v>35</v>
      </c>
      <c r="C44">
        <v>2</v>
      </c>
      <c r="E44">
        <v>22343.14</v>
      </c>
      <c r="H44">
        <v>0.69699999999999995</v>
      </c>
    </row>
    <row r="45" spans="1:8">
      <c r="A45" t="s">
        <v>14</v>
      </c>
      <c r="B45" t="s">
        <v>35</v>
      </c>
      <c r="C45">
        <v>3</v>
      </c>
      <c r="E45">
        <v>22419.46</v>
      </c>
      <c r="H45">
        <v>1.07</v>
      </c>
    </row>
    <row r="46" spans="1:8">
      <c r="A46" t="s">
        <v>14</v>
      </c>
      <c r="B46" t="s">
        <v>36</v>
      </c>
      <c r="C46">
        <v>6</v>
      </c>
      <c r="E46">
        <v>22162.06</v>
      </c>
      <c r="H46">
        <v>1.0629999999999999</v>
      </c>
    </row>
    <row r="47" spans="1:8">
      <c r="A47" t="s">
        <v>14</v>
      </c>
      <c r="B47" t="s">
        <v>36</v>
      </c>
      <c r="C47">
        <v>5</v>
      </c>
      <c r="E47">
        <v>22518.880000000001</v>
      </c>
      <c r="H47">
        <v>0.99</v>
      </c>
    </row>
    <row r="48" spans="1:8">
      <c r="A48" t="s">
        <v>14</v>
      </c>
      <c r="B48" t="s">
        <v>36</v>
      </c>
      <c r="C48">
        <v>4</v>
      </c>
      <c r="E48">
        <v>23004.77</v>
      </c>
      <c r="H48" t="s">
        <v>37</v>
      </c>
    </row>
    <row r="49" spans="1:8">
      <c r="A49" t="s">
        <v>18</v>
      </c>
      <c r="B49" t="s">
        <v>38</v>
      </c>
      <c r="C49">
        <v>4</v>
      </c>
      <c r="E49">
        <v>23392.6</v>
      </c>
      <c r="H49">
        <v>0.95</v>
      </c>
    </row>
    <row r="50" spans="1:8">
      <c r="A50" t="s">
        <v>18</v>
      </c>
      <c r="B50" t="s">
        <v>39</v>
      </c>
      <c r="C50">
        <v>2</v>
      </c>
      <c r="E50">
        <v>23453.47</v>
      </c>
      <c r="H50">
        <v>1.1619999999999999</v>
      </c>
    </row>
    <row r="51" spans="1:8">
      <c r="A51" t="s">
        <v>14</v>
      </c>
      <c r="B51" t="s">
        <v>40</v>
      </c>
      <c r="C51">
        <v>0</v>
      </c>
    </row>
    <row r="52" spans="1:8">
      <c r="A52" t="s">
        <v>14</v>
      </c>
      <c r="B52" t="s">
        <v>40</v>
      </c>
      <c r="C52">
        <v>2</v>
      </c>
      <c r="E52">
        <v>24927.48</v>
      </c>
    </row>
    <row r="53" spans="1:8">
      <c r="A53" t="s">
        <v>14</v>
      </c>
      <c r="B53" t="s">
        <v>40</v>
      </c>
      <c r="C53">
        <v>1</v>
      </c>
      <c r="E53">
        <v>27560.59</v>
      </c>
    </row>
    <row r="54" spans="1:8">
      <c r="A54" t="s">
        <v>41</v>
      </c>
      <c r="B54" t="s">
        <v>42</v>
      </c>
      <c r="C54">
        <v>5</v>
      </c>
      <c r="E54">
        <v>25214.16</v>
      </c>
      <c r="H54">
        <v>1.5920000000000001</v>
      </c>
    </row>
    <row r="55" spans="1:8">
      <c r="A55" t="s">
        <v>41</v>
      </c>
      <c r="B55" t="s">
        <v>42</v>
      </c>
      <c r="C55">
        <v>4</v>
      </c>
      <c r="E55">
        <v>25464.49</v>
      </c>
      <c r="H55">
        <v>1.625</v>
      </c>
    </row>
    <row r="56" spans="1:8">
      <c r="A56" t="s">
        <v>41</v>
      </c>
      <c r="B56" t="s">
        <v>42</v>
      </c>
      <c r="C56">
        <v>3</v>
      </c>
      <c r="E56">
        <v>26035.56</v>
      </c>
      <c r="H56">
        <v>1.7370000000000001</v>
      </c>
    </row>
    <row r="57" spans="1:8">
      <c r="A57" t="s">
        <v>41</v>
      </c>
      <c r="B57" t="s">
        <v>42</v>
      </c>
      <c r="C57">
        <v>2</v>
      </c>
      <c r="E57">
        <v>26472.74</v>
      </c>
      <c r="H57">
        <v>1.992</v>
      </c>
    </row>
    <row r="58" spans="1:8">
      <c r="A58" t="s">
        <v>41</v>
      </c>
      <c r="B58" t="s">
        <v>42</v>
      </c>
      <c r="C58">
        <v>1</v>
      </c>
      <c r="E58">
        <v>26780.46</v>
      </c>
    </row>
    <row r="59" spans="1:8">
      <c r="A59" t="s">
        <v>14</v>
      </c>
      <c r="B59" t="s">
        <v>43</v>
      </c>
      <c r="C59">
        <v>5</v>
      </c>
      <c r="E59">
        <v>25602.6</v>
      </c>
    </row>
    <row r="60" spans="1:8">
      <c r="A60" t="s">
        <v>14</v>
      </c>
      <c r="B60" t="s">
        <v>43</v>
      </c>
      <c r="C60">
        <v>4</v>
      </c>
      <c r="E60">
        <v>25642.69</v>
      </c>
    </row>
    <row r="61" spans="1:8">
      <c r="A61" t="s">
        <v>14</v>
      </c>
      <c r="B61" t="s">
        <v>43</v>
      </c>
      <c r="C61">
        <v>3</v>
      </c>
      <c r="E61">
        <v>26075.7</v>
      </c>
    </row>
    <row r="62" spans="1:8">
      <c r="A62" t="s">
        <v>44</v>
      </c>
      <c r="B62" t="s">
        <v>45</v>
      </c>
      <c r="C62">
        <v>4</v>
      </c>
      <c r="E62">
        <v>26312.83</v>
      </c>
      <c r="H62">
        <v>1.486</v>
      </c>
    </row>
    <row r="63" spans="1:8">
      <c r="A63" t="s">
        <v>44</v>
      </c>
      <c r="B63" t="s">
        <v>45</v>
      </c>
      <c r="C63">
        <v>3</v>
      </c>
      <c r="E63">
        <v>27506.59</v>
      </c>
      <c r="H63">
        <v>1.425</v>
      </c>
    </row>
    <row r="64" spans="1:8">
      <c r="A64" t="s">
        <v>44</v>
      </c>
      <c r="B64" t="s">
        <v>45</v>
      </c>
      <c r="C64">
        <v>2</v>
      </c>
      <c r="E64">
        <v>28465.69</v>
      </c>
      <c r="H64">
        <v>1.3240000000000001</v>
      </c>
    </row>
    <row r="65" spans="1:8">
      <c r="A65" t="s">
        <v>44</v>
      </c>
      <c r="B65" t="s">
        <v>45</v>
      </c>
      <c r="C65">
        <v>1</v>
      </c>
      <c r="E65">
        <v>29118.49</v>
      </c>
      <c r="H65">
        <v>0.95299999999999996</v>
      </c>
    </row>
    <row r="66" spans="1:8">
      <c r="A66" t="s">
        <v>44</v>
      </c>
      <c r="B66" t="s">
        <v>45</v>
      </c>
      <c r="C66">
        <v>0</v>
      </c>
      <c r="E66">
        <v>29569.9</v>
      </c>
      <c r="H66">
        <v>0</v>
      </c>
    </row>
    <row r="67" spans="1:8">
      <c r="A67" t="s">
        <v>44</v>
      </c>
      <c r="B67" t="s">
        <v>46</v>
      </c>
      <c r="C67">
        <v>5</v>
      </c>
      <c r="E67">
        <v>26816.23</v>
      </c>
      <c r="H67">
        <v>1.3939999999999999</v>
      </c>
    </row>
    <row r="68" spans="1:8">
      <c r="A68" t="s">
        <v>44</v>
      </c>
      <c r="B68" t="s">
        <v>46</v>
      </c>
      <c r="C68">
        <v>4</v>
      </c>
      <c r="E68">
        <v>28014.79</v>
      </c>
      <c r="H68">
        <v>1.3640000000000001</v>
      </c>
    </row>
    <row r="69" spans="1:8">
      <c r="A69" t="s">
        <v>44</v>
      </c>
      <c r="B69" t="s">
        <v>46</v>
      </c>
      <c r="C69">
        <v>3</v>
      </c>
      <c r="E69">
        <v>28890.47</v>
      </c>
      <c r="H69">
        <v>1.2929999999999999</v>
      </c>
    </row>
    <row r="70" spans="1:8">
      <c r="A70" t="s">
        <v>44</v>
      </c>
      <c r="B70" t="s">
        <v>46</v>
      </c>
      <c r="C70">
        <v>2</v>
      </c>
      <c r="E70">
        <v>29427.32</v>
      </c>
      <c r="H70">
        <v>1.1639999999999999</v>
      </c>
    </row>
    <row r="71" spans="1:8">
      <c r="A71" t="s">
        <v>44</v>
      </c>
      <c r="B71" t="s">
        <v>46</v>
      </c>
      <c r="C71">
        <v>1</v>
      </c>
      <c r="E71">
        <v>29693.57</v>
      </c>
      <c r="H71">
        <v>0.56699999999999995</v>
      </c>
    </row>
    <row r="72" spans="1:8">
      <c r="A72" t="s">
        <v>47</v>
      </c>
      <c r="B72" t="s">
        <v>48</v>
      </c>
      <c r="C72">
        <v>2</v>
      </c>
    </row>
    <row r="73" spans="1:8">
      <c r="A73" t="s">
        <v>47</v>
      </c>
      <c r="B73" t="s">
        <v>48</v>
      </c>
      <c r="C73">
        <v>4</v>
      </c>
      <c r="E73">
        <v>27289.24</v>
      </c>
    </row>
    <row r="74" spans="1:8">
      <c r="A74" t="s">
        <v>47</v>
      </c>
      <c r="B74" t="s">
        <v>48</v>
      </c>
      <c r="C74">
        <v>3</v>
      </c>
      <c r="E74">
        <v>27516.57</v>
      </c>
    </row>
    <row r="75" spans="1:8">
      <c r="A75" t="s">
        <v>44</v>
      </c>
      <c r="B75" t="s">
        <v>49</v>
      </c>
      <c r="C75">
        <v>5</v>
      </c>
      <c r="E75">
        <v>28495.1</v>
      </c>
      <c r="H75">
        <v>1.23</v>
      </c>
    </row>
    <row r="76" spans="1:8">
      <c r="A76" t="s">
        <v>44</v>
      </c>
      <c r="B76" t="s">
        <v>49</v>
      </c>
      <c r="C76">
        <v>4</v>
      </c>
      <c r="E76">
        <v>29890.91</v>
      </c>
    </row>
    <row r="77" spans="1:8">
      <c r="A77" t="s">
        <v>44</v>
      </c>
      <c r="B77" t="s">
        <v>49</v>
      </c>
      <c r="C77">
        <v>3</v>
      </c>
      <c r="E77">
        <v>31852.9</v>
      </c>
      <c r="H77">
        <v>0.86799999999999999</v>
      </c>
    </row>
    <row r="78" spans="1:8">
      <c r="A78" t="s">
        <v>44</v>
      </c>
      <c r="B78" t="s">
        <v>50</v>
      </c>
      <c r="C78">
        <v>6</v>
      </c>
      <c r="E78">
        <v>28571.89</v>
      </c>
      <c r="H78">
        <v>1.379</v>
      </c>
    </row>
    <row r="79" spans="1:8">
      <c r="A79" t="s">
        <v>44</v>
      </c>
      <c r="B79" t="s">
        <v>50</v>
      </c>
      <c r="C79">
        <v>5</v>
      </c>
      <c r="E79">
        <v>30279.68</v>
      </c>
      <c r="H79">
        <v>1.2629999999999999</v>
      </c>
    </row>
    <row r="80" spans="1:8">
      <c r="A80" t="s">
        <v>44</v>
      </c>
      <c r="B80" t="s">
        <v>50</v>
      </c>
      <c r="C80">
        <v>3</v>
      </c>
      <c r="E80">
        <v>30537.06</v>
      </c>
      <c r="H80">
        <v>0.94399999999999995</v>
      </c>
    </row>
    <row r="81" spans="1:8">
      <c r="A81" t="s">
        <v>44</v>
      </c>
      <c r="B81" t="s">
        <v>50</v>
      </c>
      <c r="C81">
        <v>2</v>
      </c>
      <c r="E81">
        <v>30958.799999999999</v>
      </c>
      <c r="H81">
        <v>0.375</v>
      </c>
    </row>
    <row r="82" spans="1:8">
      <c r="A82" t="s">
        <v>44</v>
      </c>
      <c r="B82" t="s">
        <v>50</v>
      </c>
      <c r="C82">
        <v>4</v>
      </c>
      <c r="E82">
        <v>31345.79</v>
      </c>
      <c r="H82">
        <v>1.111</v>
      </c>
    </row>
    <row r="83" spans="1:8">
      <c r="A83" t="s">
        <v>41</v>
      </c>
      <c r="B83" t="s">
        <v>51</v>
      </c>
      <c r="C83">
        <v>6</v>
      </c>
      <c r="E83">
        <v>29160.46</v>
      </c>
      <c r="H83">
        <v>1.462</v>
      </c>
    </row>
    <row r="84" spans="1:8">
      <c r="A84" t="s">
        <v>41</v>
      </c>
      <c r="B84" t="s">
        <v>51</v>
      </c>
      <c r="C84">
        <v>5</v>
      </c>
      <c r="E84">
        <v>29468.04</v>
      </c>
      <c r="H84">
        <v>1.474</v>
      </c>
    </row>
    <row r="85" spans="1:8">
      <c r="A85" t="s">
        <v>41</v>
      </c>
      <c r="B85" t="s">
        <v>51</v>
      </c>
      <c r="C85">
        <v>4</v>
      </c>
      <c r="E85">
        <v>29594.560000000001</v>
      </c>
      <c r="H85">
        <v>1.37</v>
      </c>
    </row>
    <row r="86" spans="1:8">
      <c r="A86" t="s">
        <v>41</v>
      </c>
      <c r="B86" t="s">
        <v>51</v>
      </c>
      <c r="C86">
        <v>3</v>
      </c>
      <c r="E86">
        <v>29891.9</v>
      </c>
    </row>
    <row r="87" spans="1:8">
      <c r="A87" t="s">
        <v>41</v>
      </c>
      <c r="B87" t="s">
        <v>51</v>
      </c>
      <c r="C87">
        <v>2</v>
      </c>
      <c r="E87">
        <v>30018.34</v>
      </c>
      <c r="H87">
        <v>1.4970000000000001</v>
      </c>
    </row>
    <row r="88" spans="1:8">
      <c r="A88" t="s">
        <v>41</v>
      </c>
      <c r="B88" t="s">
        <v>51</v>
      </c>
      <c r="C88">
        <v>1</v>
      </c>
      <c r="E88">
        <v>30085.38</v>
      </c>
    </row>
    <row r="89" spans="1:8">
      <c r="A89" t="s">
        <v>41</v>
      </c>
      <c r="B89" t="s">
        <v>51</v>
      </c>
      <c r="C89">
        <v>0</v>
      </c>
      <c r="E89">
        <v>30115.25</v>
      </c>
      <c r="H89">
        <v>0</v>
      </c>
    </row>
    <row r="90" spans="1:8">
      <c r="A90" t="s">
        <v>14</v>
      </c>
      <c r="B90" t="s">
        <v>52</v>
      </c>
      <c r="C90">
        <v>1</v>
      </c>
    </row>
    <row r="91" spans="1:8">
      <c r="A91" t="s">
        <v>14</v>
      </c>
      <c r="B91" t="s">
        <v>52</v>
      </c>
      <c r="C91">
        <v>2</v>
      </c>
      <c r="E91">
        <v>29352.41</v>
      </c>
    </row>
    <row r="92" spans="1:8">
      <c r="A92" t="s">
        <v>14</v>
      </c>
      <c r="B92" t="s">
        <v>52</v>
      </c>
      <c r="C92">
        <v>3</v>
      </c>
      <c r="E92">
        <v>29979</v>
      </c>
    </row>
    <row r="93" spans="1:8">
      <c r="A93" t="s">
        <v>41</v>
      </c>
      <c r="B93" t="s">
        <v>53</v>
      </c>
      <c r="C93">
        <v>4</v>
      </c>
      <c r="E93">
        <v>30250.400000000001</v>
      </c>
      <c r="H93">
        <v>1.6559999999999999</v>
      </c>
    </row>
    <row r="94" spans="1:8">
      <c r="A94" t="s">
        <v>41</v>
      </c>
      <c r="B94" t="s">
        <v>53</v>
      </c>
      <c r="C94">
        <v>3</v>
      </c>
      <c r="E94">
        <v>31384.639999999999</v>
      </c>
      <c r="H94">
        <v>1.895</v>
      </c>
    </row>
    <row r="95" spans="1:8">
      <c r="A95" t="s">
        <v>41</v>
      </c>
      <c r="B95" t="s">
        <v>53</v>
      </c>
      <c r="C95">
        <v>2</v>
      </c>
      <c r="E95">
        <v>32343.3</v>
      </c>
      <c r="H95">
        <v>2.0590000000000002</v>
      </c>
    </row>
    <row r="96" spans="1:8">
      <c r="A96" t="s">
        <v>44</v>
      </c>
      <c r="B96" t="s">
        <v>54</v>
      </c>
      <c r="C96">
        <v>4</v>
      </c>
      <c r="E96">
        <v>30348.45</v>
      </c>
      <c r="H96">
        <v>1.276</v>
      </c>
    </row>
    <row r="97" spans="1:8">
      <c r="A97" t="s">
        <v>44</v>
      </c>
      <c r="B97" t="s">
        <v>54</v>
      </c>
      <c r="C97">
        <v>3</v>
      </c>
      <c r="E97">
        <v>32391.95</v>
      </c>
      <c r="H97">
        <v>1.133</v>
      </c>
    </row>
    <row r="98" spans="1:8">
      <c r="A98" t="s">
        <v>44</v>
      </c>
      <c r="B98" t="s">
        <v>54</v>
      </c>
      <c r="C98">
        <v>2</v>
      </c>
      <c r="E98">
        <v>33172.019999999997</v>
      </c>
      <c r="H98">
        <v>1.026</v>
      </c>
    </row>
    <row r="99" spans="1:8">
      <c r="A99" t="s">
        <v>44</v>
      </c>
      <c r="B99" t="s">
        <v>55</v>
      </c>
      <c r="C99">
        <v>3</v>
      </c>
      <c r="E99">
        <v>31044.35</v>
      </c>
      <c r="H99">
        <v>1.204</v>
      </c>
    </row>
    <row r="100" spans="1:8">
      <c r="A100" t="s">
        <v>44</v>
      </c>
      <c r="B100" t="s">
        <v>55</v>
      </c>
      <c r="C100">
        <v>2</v>
      </c>
      <c r="E100">
        <v>32207.65</v>
      </c>
      <c r="H100">
        <v>1.032</v>
      </c>
    </row>
    <row r="101" spans="1:8">
      <c r="A101" t="s">
        <v>44</v>
      </c>
      <c r="B101" t="s">
        <v>55</v>
      </c>
      <c r="C101">
        <v>1</v>
      </c>
      <c r="E101">
        <v>33580.22</v>
      </c>
      <c r="H101">
        <v>0.52200000000000002</v>
      </c>
    </row>
    <row r="102" spans="1:8">
      <c r="A102" t="s">
        <v>56</v>
      </c>
      <c r="B102" t="s">
        <v>57</v>
      </c>
      <c r="C102">
        <v>2</v>
      </c>
      <c r="E102">
        <v>31186.03</v>
      </c>
      <c r="H102">
        <v>2.0339999999999998</v>
      </c>
    </row>
    <row r="103" spans="1:8">
      <c r="A103" t="s">
        <v>41</v>
      </c>
      <c r="B103" t="s">
        <v>58</v>
      </c>
      <c r="C103">
        <v>3</v>
      </c>
      <c r="E103">
        <v>33430.65</v>
      </c>
      <c r="H103">
        <v>1.496</v>
      </c>
    </row>
    <row r="104" spans="1:8">
      <c r="A104" t="s">
        <v>41</v>
      </c>
      <c r="B104" t="s">
        <v>58</v>
      </c>
      <c r="C104">
        <v>4</v>
      </c>
      <c r="E104">
        <v>33446.839999999997</v>
      </c>
      <c r="H104">
        <v>1.492</v>
      </c>
    </row>
    <row r="105" spans="1:8">
      <c r="A105" t="s">
        <v>41</v>
      </c>
      <c r="B105" t="s">
        <v>58</v>
      </c>
      <c r="C105">
        <v>2</v>
      </c>
      <c r="E105">
        <v>33728.660000000003</v>
      </c>
      <c r="H105">
        <v>1.4770000000000001</v>
      </c>
    </row>
    <row r="106" spans="1:8">
      <c r="A106" t="s">
        <v>41</v>
      </c>
      <c r="B106" t="s">
        <v>58</v>
      </c>
      <c r="C106">
        <v>1</v>
      </c>
      <c r="E106">
        <v>34091.06</v>
      </c>
      <c r="H106">
        <v>1.522</v>
      </c>
    </row>
    <row r="107" spans="1:8">
      <c r="A107" t="s">
        <v>41</v>
      </c>
      <c r="B107" t="s">
        <v>58</v>
      </c>
      <c r="C107">
        <v>0</v>
      </c>
      <c r="E107">
        <v>34379.64</v>
      </c>
      <c r="H107">
        <v>0</v>
      </c>
    </row>
    <row r="108" spans="1:8">
      <c r="A108" t="s">
        <v>41</v>
      </c>
      <c r="B108" t="s">
        <v>59</v>
      </c>
      <c r="C108">
        <v>3</v>
      </c>
      <c r="E108">
        <v>34072.410000000003</v>
      </c>
      <c r="H108">
        <v>1.6459999999999999</v>
      </c>
    </row>
    <row r="109" spans="1:8">
      <c r="A109" t="s">
        <v>41</v>
      </c>
      <c r="B109" t="s">
        <v>59</v>
      </c>
      <c r="C109">
        <v>2</v>
      </c>
      <c r="E109">
        <v>34881.919999999998</v>
      </c>
      <c r="H109">
        <v>1.8080000000000001</v>
      </c>
    </row>
    <row r="110" spans="1:8">
      <c r="A110" t="s">
        <v>41</v>
      </c>
      <c r="B110" t="s">
        <v>59</v>
      </c>
      <c r="C110">
        <v>1</v>
      </c>
      <c r="E110">
        <v>35046.769999999997</v>
      </c>
      <c r="H110">
        <v>2.3849999999999998</v>
      </c>
    </row>
    <row r="111" spans="1:8">
      <c r="A111" t="s">
        <v>41</v>
      </c>
      <c r="B111" t="s">
        <v>60</v>
      </c>
      <c r="C111">
        <v>5</v>
      </c>
      <c r="E111">
        <v>34772.550000000003</v>
      </c>
      <c r="H111">
        <v>1.4019999999999999</v>
      </c>
    </row>
    <row r="112" spans="1:8">
      <c r="A112" t="s">
        <v>41</v>
      </c>
      <c r="B112" t="s">
        <v>60</v>
      </c>
      <c r="C112">
        <v>4</v>
      </c>
      <c r="E112">
        <v>35471.15</v>
      </c>
      <c r="H112">
        <v>1.3640000000000001</v>
      </c>
    </row>
    <row r="113" spans="1:8">
      <c r="A113" t="s">
        <v>41</v>
      </c>
      <c r="B113" t="s">
        <v>60</v>
      </c>
      <c r="C113">
        <v>3</v>
      </c>
      <c r="E113">
        <v>35806.620000000003</v>
      </c>
      <c r="H113">
        <v>1.276</v>
      </c>
    </row>
    <row r="114" spans="1:8">
      <c r="A114" t="s">
        <v>41</v>
      </c>
      <c r="B114" t="s">
        <v>60</v>
      </c>
      <c r="C114">
        <v>2</v>
      </c>
      <c r="E114">
        <v>35963.870000000003</v>
      </c>
      <c r="H114">
        <v>1.069</v>
      </c>
    </row>
    <row r="115" spans="1:8">
      <c r="A115" t="s">
        <v>41</v>
      </c>
      <c r="B115" t="s">
        <v>60</v>
      </c>
      <c r="C115">
        <v>1</v>
      </c>
      <c r="E115">
        <v>36238.769999999997</v>
      </c>
      <c r="H115">
        <v>0.14499999999999999</v>
      </c>
    </row>
    <row r="116" spans="1:8">
      <c r="A116" t="s">
        <v>56</v>
      </c>
      <c r="B116" t="s">
        <v>61</v>
      </c>
      <c r="C116">
        <v>4</v>
      </c>
      <c r="E116">
        <v>36542.620000000003</v>
      </c>
      <c r="H116">
        <v>1.4810000000000001</v>
      </c>
    </row>
    <row r="117" spans="1:8">
      <c r="A117" t="s">
        <v>56</v>
      </c>
      <c r="B117" t="s">
        <v>61</v>
      </c>
      <c r="C117">
        <v>3</v>
      </c>
      <c r="E117">
        <v>37367.019999999997</v>
      </c>
      <c r="H117">
        <v>1.379</v>
      </c>
    </row>
    <row r="118" spans="1:8">
      <c r="A118" t="s">
        <v>56</v>
      </c>
      <c r="B118" t="s">
        <v>61</v>
      </c>
      <c r="C118">
        <v>2</v>
      </c>
      <c r="E118">
        <v>37667.86</v>
      </c>
      <c r="H118">
        <v>1.4419999999999999</v>
      </c>
    </row>
    <row r="119" spans="1:8">
      <c r="A119" t="s">
        <v>56</v>
      </c>
      <c r="B119" t="s">
        <v>61</v>
      </c>
      <c r="C119">
        <v>0</v>
      </c>
      <c r="E119">
        <v>37802.230000000003</v>
      </c>
      <c r="H119">
        <v>0</v>
      </c>
    </row>
    <row r="120" spans="1:8">
      <c r="A120" t="s">
        <v>56</v>
      </c>
      <c r="B120" t="s">
        <v>61</v>
      </c>
      <c r="C120">
        <v>1</v>
      </c>
      <c r="E120">
        <v>38200.400000000001</v>
      </c>
      <c r="H120">
        <v>1.569</v>
      </c>
    </row>
    <row r="121" spans="1:8">
      <c r="A121" t="s">
        <v>56</v>
      </c>
      <c r="B121" t="s">
        <v>62</v>
      </c>
      <c r="C121">
        <v>3</v>
      </c>
      <c r="E121">
        <v>36760.339999999997</v>
      </c>
      <c r="H121">
        <v>1.4259999999999999</v>
      </c>
    </row>
    <row r="122" spans="1:8">
      <c r="A122" t="s">
        <v>56</v>
      </c>
      <c r="B122" t="s">
        <v>62</v>
      </c>
      <c r="C122">
        <v>2</v>
      </c>
      <c r="E122">
        <v>36965.279999999999</v>
      </c>
      <c r="H122">
        <v>1.173</v>
      </c>
    </row>
    <row r="123" spans="1:8">
      <c r="A123" t="s">
        <v>56</v>
      </c>
      <c r="B123" t="s">
        <v>62</v>
      </c>
      <c r="C123">
        <v>1</v>
      </c>
      <c r="E123">
        <v>37619.519999999997</v>
      </c>
      <c r="H123">
        <v>0.75600000000000001</v>
      </c>
    </row>
    <row r="124" spans="1:8">
      <c r="A124" t="s">
        <v>56</v>
      </c>
      <c r="B124" t="s">
        <v>63</v>
      </c>
      <c r="C124">
        <v>2</v>
      </c>
      <c r="E124">
        <v>37118.9</v>
      </c>
      <c r="H124">
        <v>1.4690000000000001</v>
      </c>
    </row>
    <row r="125" spans="1:8">
      <c r="A125" t="s">
        <v>56</v>
      </c>
      <c r="B125" t="s">
        <v>63</v>
      </c>
      <c r="C125">
        <v>1</v>
      </c>
      <c r="E125">
        <v>37346.74</v>
      </c>
      <c r="H125">
        <v>1.3109999999999999</v>
      </c>
    </row>
    <row r="126" spans="1:8">
      <c r="A126" t="s">
        <v>56</v>
      </c>
      <c r="B126" t="s">
        <v>63</v>
      </c>
      <c r="C126">
        <v>0</v>
      </c>
      <c r="E126">
        <v>37472.879999999997</v>
      </c>
      <c r="H126">
        <v>0</v>
      </c>
    </row>
    <row r="127" spans="1:8">
      <c r="A127" t="s">
        <v>64</v>
      </c>
      <c r="B127" t="s">
        <v>65</v>
      </c>
      <c r="C127">
        <v>4</v>
      </c>
      <c r="E127">
        <v>38243.379999999997</v>
      </c>
      <c r="H127">
        <v>1.107</v>
      </c>
    </row>
    <row r="128" spans="1:8">
      <c r="A128" t="s">
        <v>64</v>
      </c>
      <c r="B128" t="s">
        <v>65</v>
      </c>
      <c r="C128">
        <v>3</v>
      </c>
      <c r="E128">
        <v>39433.699999999997</v>
      </c>
      <c r="H128">
        <v>0.96799999999999997</v>
      </c>
    </row>
    <row r="129" spans="1:8">
      <c r="A129" t="s">
        <v>64</v>
      </c>
      <c r="B129" t="s">
        <v>65</v>
      </c>
      <c r="C129">
        <v>2</v>
      </c>
      <c r="E129">
        <v>40433.230000000003</v>
      </c>
      <c r="H129">
        <v>0.88900000000000001</v>
      </c>
    </row>
    <row r="130" spans="1:8">
      <c r="A130" t="s">
        <v>64</v>
      </c>
      <c r="B130" t="s">
        <v>66</v>
      </c>
      <c r="C130">
        <v>5</v>
      </c>
      <c r="E130">
        <v>38297.089999999997</v>
      </c>
      <c r="H130">
        <v>1.048</v>
      </c>
    </row>
    <row r="131" spans="1:8">
      <c r="A131" t="s">
        <v>64</v>
      </c>
      <c r="B131" t="s">
        <v>66</v>
      </c>
      <c r="C131">
        <v>6</v>
      </c>
      <c r="E131">
        <v>38897.5</v>
      </c>
      <c r="H131">
        <v>1.1739999999999999</v>
      </c>
    </row>
    <row r="132" spans="1:8">
      <c r="A132" t="s">
        <v>64</v>
      </c>
      <c r="B132" t="s">
        <v>66</v>
      </c>
      <c r="C132">
        <v>4</v>
      </c>
      <c r="E132">
        <v>39273.279999999999</v>
      </c>
      <c r="H132">
        <v>0.89500000000000002</v>
      </c>
    </row>
    <row r="133" spans="1:8">
      <c r="A133" t="s">
        <v>56</v>
      </c>
      <c r="B133" t="s">
        <v>67</v>
      </c>
      <c r="C133">
        <v>1</v>
      </c>
      <c r="E133">
        <v>38587.14</v>
      </c>
      <c r="H133">
        <v>1.5660000000000001</v>
      </c>
    </row>
    <row r="134" spans="1:8">
      <c r="A134" t="s">
        <v>56</v>
      </c>
      <c r="B134" t="s">
        <v>68</v>
      </c>
      <c r="C134">
        <v>3</v>
      </c>
      <c r="E134">
        <v>38706.36</v>
      </c>
      <c r="H134">
        <v>1.631</v>
      </c>
    </row>
    <row r="135" spans="1:8">
      <c r="A135" t="s">
        <v>56</v>
      </c>
      <c r="B135" t="s">
        <v>68</v>
      </c>
      <c r="C135">
        <v>2</v>
      </c>
      <c r="E135">
        <v>39008.620000000003</v>
      </c>
      <c r="H135">
        <v>1.7130000000000001</v>
      </c>
    </row>
    <row r="136" spans="1:8">
      <c r="A136" t="s">
        <v>56</v>
      </c>
      <c r="B136" t="s">
        <v>68</v>
      </c>
      <c r="C136">
        <v>1</v>
      </c>
      <c r="E136">
        <v>39773.49</v>
      </c>
      <c r="H136">
        <v>2.3149999999999999</v>
      </c>
    </row>
    <row r="137" spans="1:8">
      <c r="A137" t="s">
        <v>64</v>
      </c>
      <c r="B137" t="s">
        <v>69</v>
      </c>
      <c r="C137">
        <v>4</v>
      </c>
      <c r="E137">
        <v>39037.18</v>
      </c>
      <c r="H137">
        <v>1.115</v>
      </c>
    </row>
    <row r="138" spans="1:8">
      <c r="A138" t="s">
        <v>64</v>
      </c>
      <c r="B138" t="s">
        <v>70</v>
      </c>
      <c r="C138">
        <v>5</v>
      </c>
      <c r="E138">
        <v>39450.660000000003</v>
      </c>
      <c r="H138">
        <v>1.1419999999999999</v>
      </c>
    </row>
    <row r="139" spans="1:8">
      <c r="A139" t="s">
        <v>64</v>
      </c>
      <c r="B139" t="s">
        <v>70</v>
      </c>
      <c r="C139">
        <v>3</v>
      </c>
      <c r="E139">
        <v>40235.39</v>
      </c>
      <c r="H139">
        <v>0.89</v>
      </c>
    </row>
    <row r="140" spans="1:8">
      <c r="A140" t="s">
        <v>64</v>
      </c>
      <c r="B140" t="s">
        <v>70</v>
      </c>
      <c r="C140">
        <v>4</v>
      </c>
      <c r="E140">
        <v>40276.61</v>
      </c>
      <c r="H140">
        <v>1.0349999999999999</v>
      </c>
    </row>
    <row r="141" spans="1:8">
      <c r="A141" t="s">
        <v>71</v>
      </c>
      <c r="B141" t="s">
        <v>72</v>
      </c>
      <c r="C141">
        <v>2</v>
      </c>
      <c r="E141">
        <v>39742.03</v>
      </c>
      <c r="H141">
        <v>1.2989999999999999</v>
      </c>
    </row>
    <row r="142" spans="1:8">
      <c r="A142" t="s">
        <v>71</v>
      </c>
      <c r="B142" t="s">
        <v>72</v>
      </c>
      <c r="C142">
        <v>0</v>
      </c>
      <c r="E142">
        <v>39894.5</v>
      </c>
      <c r="H142">
        <v>0</v>
      </c>
    </row>
    <row r="143" spans="1:8">
      <c r="A143" t="s">
        <v>71</v>
      </c>
      <c r="B143" t="s">
        <v>72</v>
      </c>
      <c r="C143">
        <v>1</v>
      </c>
      <c r="E143">
        <v>39916.54</v>
      </c>
      <c r="H143">
        <v>1.6060000000000001</v>
      </c>
    </row>
    <row r="144" spans="1:8">
      <c r="B144" t="s">
        <v>73</v>
      </c>
      <c r="C144">
        <v>4</v>
      </c>
      <c r="E144">
        <v>40439.25</v>
      </c>
      <c r="H144">
        <v>1.196</v>
      </c>
    </row>
    <row r="145" spans="1:8">
      <c r="A145" t="s">
        <v>64</v>
      </c>
      <c r="B145" t="s">
        <v>74</v>
      </c>
      <c r="C145">
        <v>5</v>
      </c>
      <c r="E145">
        <v>40616.22</v>
      </c>
      <c r="H145">
        <v>1.02</v>
      </c>
    </row>
    <row r="146" spans="1:8">
      <c r="A146" t="s">
        <v>71</v>
      </c>
      <c r="B146" t="s">
        <v>75</v>
      </c>
      <c r="C146">
        <v>3</v>
      </c>
      <c r="E146">
        <v>40768.15</v>
      </c>
      <c r="H146">
        <v>1.159</v>
      </c>
    </row>
    <row r="147" spans="1:8">
      <c r="A147" t="s">
        <v>71</v>
      </c>
      <c r="B147" t="s">
        <v>75</v>
      </c>
      <c r="C147">
        <v>1</v>
      </c>
      <c r="E147">
        <v>41016.65</v>
      </c>
      <c r="H147">
        <v>0.89500000000000002</v>
      </c>
    </row>
    <row r="148" spans="1:8">
      <c r="A148" t="s">
        <v>71</v>
      </c>
      <c r="B148" t="s">
        <v>75</v>
      </c>
      <c r="C148">
        <v>2</v>
      </c>
      <c r="E148">
        <v>42007.26</v>
      </c>
      <c r="H148">
        <v>1.0069999999999999</v>
      </c>
    </row>
    <row r="149" spans="1:8">
      <c r="A149" t="s">
        <v>64</v>
      </c>
      <c r="B149" t="s">
        <v>76</v>
      </c>
      <c r="C149">
        <v>3</v>
      </c>
      <c r="E149">
        <v>40948.65</v>
      </c>
      <c r="H149">
        <v>1.137</v>
      </c>
    </row>
    <row r="150" spans="1:8">
      <c r="A150" t="s">
        <v>77</v>
      </c>
      <c r="B150" t="s">
        <v>78</v>
      </c>
      <c r="C150">
        <v>2</v>
      </c>
      <c r="E150">
        <v>41182.94</v>
      </c>
      <c r="H150">
        <v>0.88700000000000001</v>
      </c>
    </row>
    <row r="151" spans="1:8">
      <c r="A151" t="s">
        <v>77</v>
      </c>
      <c r="B151" t="s">
        <v>78</v>
      </c>
      <c r="C151">
        <v>3</v>
      </c>
      <c r="E151">
        <v>41260.04</v>
      </c>
      <c r="H151">
        <v>1.2350000000000001</v>
      </c>
    </row>
    <row r="152" spans="1:8">
      <c r="A152" t="s">
        <v>77</v>
      </c>
      <c r="B152" t="s">
        <v>78</v>
      </c>
      <c r="C152">
        <v>4</v>
      </c>
      <c r="E152">
        <v>42346.9</v>
      </c>
      <c r="H152">
        <v>1.2470000000000001</v>
      </c>
    </row>
    <row r="153" spans="1:8">
      <c r="A153" t="s">
        <v>79</v>
      </c>
      <c r="B153" t="s">
        <v>80</v>
      </c>
      <c r="C153">
        <v>5</v>
      </c>
      <c r="E153">
        <v>41256.400000000001</v>
      </c>
    </row>
    <row r="154" spans="1:8">
      <c r="A154" t="s">
        <v>79</v>
      </c>
      <c r="B154" t="s">
        <v>80</v>
      </c>
      <c r="C154">
        <v>4</v>
      </c>
      <c r="E154">
        <v>43018.57</v>
      </c>
    </row>
    <row r="155" spans="1:8">
      <c r="A155" t="s">
        <v>79</v>
      </c>
      <c r="B155" t="s">
        <v>80</v>
      </c>
      <c r="C155">
        <v>2</v>
      </c>
      <c r="E155">
        <v>43892.09</v>
      </c>
    </row>
    <row r="156" spans="1:8">
      <c r="A156" t="s">
        <v>79</v>
      </c>
      <c r="B156" t="s">
        <v>80</v>
      </c>
      <c r="C156">
        <v>3</v>
      </c>
      <c r="E156">
        <v>44176.23</v>
      </c>
    </row>
    <row r="157" spans="1:8">
      <c r="A157" t="s">
        <v>79</v>
      </c>
      <c r="B157" t="s">
        <v>80</v>
      </c>
      <c r="C157">
        <v>1</v>
      </c>
      <c r="E157">
        <v>44343.91</v>
      </c>
    </row>
    <row r="158" spans="1:8">
      <c r="A158" t="s">
        <v>77</v>
      </c>
      <c r="B158" t="s">
        <v>81</v>
      </c>
      <c r="C158">
        <v>3</v>
      </c>
      <c r="E158">
        <v>41482.660000000003</v>
      </c>
      <c r="H158">
        <v>1.286</v>
      </c>
    </row>
    <row r="159" spans="1:8">
      <c r="A159" t="s">
        <v>77</v>
      </c>
      <c r="B159" t="s">
        <v>81</v>
      </c>
      <c r="C159">
        <v>2</v>
      </c>
      <c r="E159">
        <v>42533.81</v>
      </c>
      <c r="H159">
        <v>1.0249999999999999</v>
      </c>
    </row>
    <row r="160" spans="1:8">
      <c r="A160" t="s">
        <v>77</v>
      </c>
      <c r="B160" t="s">
        <v>81</v>
      </c>
      <c r="C160">
        <v>1</v>
      </c>
      <c r="E160">
        <v>42894.42</v>
      </c>
      <c r="H160">
        <v>0.81</v>
      </c>
    </row>
    <row r="161" spans="1:8">
      <c r="A161" t="s">
        <v>82</v>
      </c>
      <c r="B161" t="s">
        <v>83</v>
      </c>
      <c r="C161">
        <v>6</v>
      </c>
      <c r="E161">
        <v>41577.75</v>
      </c>
      <c r="H161">
        <v>1.0129999999999999</v>
      </c>
    </row>
    <row r="162" spans="1:8">
      <c r="A162" t="s">
        <v>82</v>
      </c>
      <c r="B162" t="s">
        <v>83</v>
      </c>
      <c r="C162">
        <v>7</v>
      </c>
      <c r="E162">
        <v>42260.53</v>
      </c>
      <c r="H162">
        <v>1.1459999999999999</v>
      </c>
    </row>
    <row r="163" spans="1:8">
      <c r="A163" t="s">
        <v>82</v>
      </c>
      <c r="B163" t="s">
        <v>83</v>
      </c>
      <c r="C163">
        <v>5</v>
      </c>
      <c r="E163">
        <v>42978.28</v>
      </c>
      <c r="H163">
        <v>0.86099999999999999</v>
      </c>
    </row>
    <row r="164" spans="1:8">
      <c r="A164" t="s">
        <v>82</v>
      </c>
      <c r="B164" t="s">
        <v>84</v>
      </c>
      <c r="C164">
        <v>5</v>
      </c>
      <c r="E164">
        <v>41739.300000000003</v>
      </c>
      <c r="H164">
        <v>1.1970000000000001</v>
      </c>
    </row>
    <row r="165" spans="1:8">
      <c r="A165" t="s">
        <v>82</v>
      </c>
      <c r="B165" t="s">
        <v>84</v>
      </c>
      <c r="C165">
        <v>4</v>
      </c>
      <c r="E165">
        <v>42939.12</v>
      </c>
    </row>
    <row r="166" spans="1:8">
      <c r="A166" t="s">
        <v>82</v>
      </c>
      <c r="B166" t="s">
        <v>84</v>
      </c>
      <c r="C166">
        <v>3</v>
      </c>
      <c r="E166">
        <v>43975.79</v>
      </c>
      <c r="H166">
        <v>0.93400000000000005</v>
      </c>
    </row>
    <row r="167" spans="1:8">
      <c r="A167" t="s">
        <v>77</v>
      </c>
      <c r="B167" t="s">
        <v>85</v>
      </c>
      <c r="C167">
        <v>2</v>
      </c>
      <c r="E167">
        <v>41756.15</v>
      </c>
      <c r="H167">
        <v>1.1819999999999999</v>
      </c>
    </row>
    <row r="168" spans="1:8">
      <c r="A168" t="s">
        <v>79</v>
      </c>
      <c r="B168" t="s">
        <v>86</v>
      </c>
      <c r="C168">
        <v>4</v>
      </c>
      <c r="E168">
        <v>41825.230000000003</v>
      </c>
    </row>
    <row r="169" spans="1:8">
      <c r="A169" t="s">
        <v>79</v>
      </c>
      <c r="B169" t="s">
        <v>86</v>
      </c>
      <c r="C169">
        <v>3</v>
      </c>
      <c r="E169">
        <v>43115.47</v>
      </c>
    </row>
    <row r="170" spans="1:8">
      <c r="A170" t="s">
        <v>79</v>
      </c>
      <c r="B170" t="s">
        <v>86</v>
      </c>
      <c r="C170">
        <v>2</v>
      </c>
      <c r="E170">
        <v>44970.04</v>
      </c>
    </row>
    <row r="171" spans="1:8">
      <c r="B171" t="s">
        <v>87</v>
      </c>
      <c r="C171">
        <v>1</v>
      </c>
    </row>
    <row r="172" spans="1:8">
      <c r="B172" t="s">
        <v>87</v>
      </c>
      <c r="C172">
        <v>3</v>
      </c>
      <c r="E172">
        <v>41880.85</v>
      </c>
      <c r="H172">
        <v>1.163</v>
      </c>
    </row>
    <row r="173" spans="1:8">
      <c r="B173" t="s">
        <v>87</v>
      </c>
      <c r="C173">
        <v>2</v>
      </c>
      <c r="E173">
        <v>42897.23</v>
      </c>
    </row>
    <row r="174" spans="1:8">
      <c r="A174" t="s">
        <v>82</v>
      </c>
      <c r="B174" t="s">
        <v>88</v>
      </c>
      <c r="C174">
        <v>6</v>
      </c>
      <c r="E174">
        <v>42404.14</v>
      </c>
      <c r="F174" t="s">
        <v>34</v>
      </c>
    </row>
    <row r="175" spans="1:8">
      <c r="A175" t="s">
        <v>71</v>
      </c>
      <c r="B175" t="s">
        <v>89</v>
      </c>
      <c r="C175">
        <v>1</v>
      </c>
      <c r="E175">
        <v>42415.81</v>
      </c>
      <c r="H175">
        <v>0.96499999999999997</v>
      </c>
    </row>
    <row r="176" spans="1:8">
      <c r="A176" t="s">
        <v>71</v>
      </c>
      <c r="B176" t="s">
        <v>90</v>
      </c>
      <c r="C176">
        <v>0</v>
      </c>
      <c r="E176">
        <v>42620.800000000003</v>
      </c>
      <c r="H176">
        <v>0</v>
      </c>
    </row>
    <row r="177" spans="1:8">
      <c r="B177" t="s">
        <v>91</v>
      </c>
      <c r="C177">
        <v>4</v>
      </c>
      <c r="E177">
        <v>42895.39</v>
      </c>
    </row>
    <row r="178" spans="1:8">
      <c r="A178" t="s">
        <v>77</v>
      </c>
      <c r="B178" t="s">
        <v>92</v>
      </c>
      <c r="C178">
        <v>3</v>
      </c>
      <c r="E178">
        <v>42998.31</v>
      </c>
      <c r="H178">
        <v>0.995</v>
      </c>
    </row>
    <row r="179" spans="1:8">
      <c r="A179" t="s">
        <v>71</v>
      </c>
      <c r="B179" t="s">
        <v>93</v>
      </c>
      <c r="C179">
        <v>1</v>
      </c>
      <c r="E179">
        <v>43107.519999999997</v>
      </c>
      <c r="H179">
        <v>1.5329999999999999</v>
      </c>
    </row>
    <row r="180" spans="1:8">
      <c r="B180" t="s">
        <v>94</v>
      </c>
      <c r="C180">
        <v>3</v>
      </c>
    </row>
    <row r="181" spans="1:8">
      <c r="B181" t="s">
        <v>94</v>
      </c>
      <c r="C181">
        <v>2</v>
      </c>
      <c r="E181">
        <v>43509.17</v>
      </c>
      <c r="H181">
        <v>1.1579999999999999</v>
      </c>
    </row>
    <row r="182" spans="1:8">
      <c r="B182" t="s">
        <v>94</v>
      </c>
      <c r="C182">
        <v>1</v>
      </c>
      <c r="E182">
        <v>43841.53</v>
      </c>
      <c r="H182">
        <v>0.8</v>
      </c>
    </row>
    <row r="183" spans="1:8">
      <c r="A183" t="s">
        <v>82</v>
      </c>
      <c r="B183" t="s">
        <v>95</v>
      </c>
      <c r="C183">
        <v>6</v>
      </c>
      <c r="E183">
        <v>43548.67</v>
      </c>
      <c r="H183">
        <v>1.1619999999999999</v>
      </c>
    </row>
    <row r="184" spans="1:8">
      <c r="A184" t="s">
        <v>82</v>
      </c>
      <c r="B184" t="s">
        <v>95</v>
      </c>
      <c r="C184">
        <v>5</v>
      </c>
      <c r="E184">
        <v>44109.41</v>
      </c>
      <c r="H184">
        <v>1.0329999999999999</v>
      </c>
    </row>
    <row r="185" spans="1:8">
      <c r="A185" t="s">
        <v>82</v>
      </c>
      <c r="B185" t="s">
        <v>95</v>
      </c>
      <c r="C185">
        <v>4</v>
      </c>
      <c r="E185">
        <v>44662.01</v>
      </c>
      <c r="H185">
        <v>0.92500000000000004</v>
      </c>
    </row>
    <row r="186" spans="1:8">
      <c r="A186" t="s">
        <v>82</v>
      </c>
      <c r="B186" t="s">
        <v>96</v>
      </c>
      <c r="C186">
        <v>5</v>
      </c>
      <c r="E186">
        <v>43596.58</v>
      </c>
      <c r="H186">
        <v>1.03</v>
      </c>
    </row>
    <row r="187" spans="1:8">
      <c r="B187" t="s">
        <v>97</v>
      </c>
      <c r="C187">
        <v>3</v>
      </c>
    </row>
    <row r="188" spans="1:8">
      <c r="B188" t="s">
        <v>97</v>
      </c>
      <c r="C188">
        <v>5</v>
      </c>
      <c r="E188">
        <v>43742.81</v>
      </c>
      <c r="H188">
        <v>1.272</v>
      </c>
    </row>
    <row r="189" spans="1:8">
      <c r="B189" t="s">
        <v>97</v>
      </c>
      <c r="C189">
        <v>4</v>
      </c>
      <c r="E189">
        <v>43862.91</v>
      </c>
    </row>
    <row r="190" spans="1:8">
      <c r="A190" t="s">
        <v>71</v>
      </c>
      <c r="B190" t="s">
        <v>98</v>
      </c>
      <c r="C190">
        <v>2</v>
      </c>
      <c r="E190">
        <v>43903.41</v>
      </c>
      <c r="H190">
        <v>1.026</v>
      </c>
    </row>
    <row r="191" spans="1:8">
      <c r="B191" t="s">
        <v>99</v>
      </c>
      <c r="C191">
        <v>6</v>
      </c>
      <c r="E191">
        <v>43998.6</v>
      </c>
      <c r="H191">
        <v>1.2190000000000001</v>
      </c>
    </row>
    <row r="192" spans="1:8">
      <c r="A192" t="s">
        <v>77</v>
      </c>
      <c r="B192" t="s">
        <v>100</v>
      </c>
      <c r="C192">
        <v>0</v>
      </c>
    </row>
    <row r="193" spans="1:8">
      <c r="A193" t="s">
        <v>77</v>
      </c>
      <c r="B193" t="s">
        <v>100</v>
      </c>
      <c r="C193">
        <v>1</v>
      </c>
    </row>
    <row r="194" spans="1:8">
      <c r="A194" t="s">
        <v>77</v>
      </c>
      <c r="B194" t="s">
        <v>100</v>
      </c>
      <c r="C194">
        <v>2</v>
      </c>
      <c r="E194">
        <v>44234.68</v>
      </c>
      <c r="H194">
        <v>1.4219999999999999</v>
      </c>
    </row>
    <row r="195" spans="1:8">
      <c r="A195" t="s">
        <v>101</v>
      </c>
      <c r="B195" t="s">
        <v>102</v>
      </c>
      <c r="C195">
        <v>4</v>
      </c>
      <c r="E195">
        <v>44243.49</v>
      </c>
      <c r="H195">
        <v>1.4730000000000001</v>
      </c>
    </row>
    <row r="196" spans="1:8">
      <c r="A196" t="s">
        <v>101</v>
      </c>
      <c r="B196" t="s">
        <v>102</v>
      </c>
      <c r="C196">
        <v>3</v>
      </c>
      <c r="E196">
        <v>45071.4</v>
      </c>
      <c r="H196">
        <v>1.4490000000000001</v>
      </c>
    </row>
    <row r="197" spans="1:8">
      <c r="A197" t="s">
        <v>101</v>
      </c>
      <c r="B197" t="s">
        <v>102</v>
      </c>
      <c r="C197">
        <v>2</v>
      </c>
      <c r="E197">
        <v>45790.41</v>
      </c>
      <c r="H197">
        <v>1.484</v>
      </c>
    </row>
    <row r="198" spans="1:8">
      <c r="A198" t="s">
        <v>101</v>
      </c>
      <c r="B198" t="s">
        <v>102</v>
      </c>
      <c r="C198">
        <v>1</v>
      </c>
      <c r="E198">
        <v>46191.4</v>
      </c>
      <c r="H198">
        <v>1.4390000000000001</v>
      </c>
    </row>
    <row r="199" spans="1:8">
      <c r="A199" t="s">
        <v>101</v>
      </c>
      <c r="B199" t="s">
        <v>102</v>
      </c>
      <c r="C199">
        <v>0</v>
      </c>
      <c r="E199">
        <v>46466.35</v>
      </c>
    </row>
    <row r="200" spans="1:8">
      <c r="B200" t="s">
        <v>103</v>
      </c>
      <c r="C200">
        <v>1</v>
      </c>
      <c r="E200">
        <v>44301.14</v>
      </c>
      <c r="H200">
        <v>1.35</v>
      </c>
    </row>
    <row r="201" spans="1:8">
      <c r="A201" t="s">
        <v>101</v>
      </c>
      <c r="B201" t="s">
        <v>104</v>
      </c>
      <c r="C201">
        <v>1</v>
      </c>
    </row>
    <row r="202" spans="1:8">
      <c r="A202" t="s">
        <v>101</v>
      </c>
      <c r="B202" t="s">
        <v>104</v>
      </c>
      <c r="C202">
        <v>5</v>
      </c>
      <c r="E202">
        <v>44321.81</v>
      </c>
      <c r="H202">
        <v>1.3029999999999999</v>
      </c>
    </row>
    <row r="203" spans="1:8">
      <c r="A203" t="s">
        <v>101</v>
      </c>
      <c r="B203" t="s">
        <v>104</v>
      </c>
      <c r="C203">
        <v>4</v>
      </c>
      <c r="E203">
        <v>44607.61</v>
      </c>
    </row>
    <row r="204" spans="1:8">
      <c r="A204" t="s">
        <v>101</v>
      </c>
      <c r="B204" t="s">
        <v>104</v>
      </c>
      <c r="C204">
        <v>3</v>
      </c>
      <c r="E204">
        <v>44800.81</v>
      </c>
    </row>
    <row r="205" spans="1:8">
      <c r="A205" t="s">
        <v>101</v>
      </c>
      <c r="B205" t="s">
        <v>104</v>
      </c>
      <c r="C205">
        <v>2</v>
      </c>
      <c r="E205">
        <v>45592.33</v>
      </c>
    </row>
    <row r="206" spans="1:8">
      <c r="B206" t="s">
        <v>105</v>
      </c>
      <c r="C206">
        <v>3</v>
      </c>
      <c r="E206">
        <v>44441.59</v>
      </c>
      <c r="H206">
        <v>0.76</v>
      </c>
    </row>
    <row r="207" spans="1:8">
      <c r="B207" t="s">
        <v>106</v>
      </c>
      <c r="C207">
        <v>2</v>
      </c>
      <c r="E207">
        <v>44891.4</v>
      </c>
      <c r="H207">
        <v>0.38300000000000001</v>
      </c>
    </row>
    <row r="208" spans="1:8">
      <c r="A208" t="s">
        <v>107</v>
      </c>
      <c r="B208" t="s">
        <v>108</v>
      </c>
      <c r="C208">
        <v>2</v>
      </c>
      <c r="E208">
        <v>45197.37</v>
      </c>
      <c r="H208">
        <v>2.2240000000000002</v>
      </c>
    </row>
    <row r="209" spans="1:8">
      <c r="A209" t="s">
        <v>109</v>
      </c>
      <c r="B209" t="s">
        <v>110</v>
      </c>
      <c r="C209">
        <v>3</v>
      </c>
      <c r="E209">
        <v>45201.98</v>
      </c>
      <c r="H209">
        <v>1.0589999999999999</v>
      </c>
    </row>
    <row r="210" spans="1:8">
      <c r="A210" t="s">
        <v>82</v>
      </c>
      <c r="B210" t="s">
        <v>111</v>
      </c>
      <c r="C210">
        <v>4</v>
      </c>
      <c r="E210">
        <v>45364.72</v>
      </c>
      <c r="H210">
        <v>0.96199999999999997</v>
      </c>
    </row>
    <row r="211" spans="1:8">
      <c r="B211" t="s">
        <v>112</v>
      </c>
      <c r="C211">
        <v>3</v>
      </c>
      <c r="E211">
        <v>45475.77</v>
      </c>
      <c r="H211">
        <v>1.5469999999999999</v>
      </c>
    </row>
    <row r="212" spans="1:8">
      <c r="A212" t="s">
        <v>109</v>
      </c>
      <c r="B212" t="s">
        <v>113</v>
      </c>
      <c r="C212">
        <v>4</v>
      </c>
      <c r="E212">
        <v>45528.61</v>
      </c>
      <c r="H212">
        <v>1.08</v>
      </c>
    </row>
    <row r="213" spans="1:8">
      <c r="B213" t="s">
        <v>114</v>
      </c>
      <c r="C213">
        <v>3</v>
      </c>
      <c r="E213">
        <v>45549.51</v>
      </c>
    </row>
    <row r="214" spans="1:8">
      <c r="A214" t="s">
        <v>115</v>
      </c>
      <c r="B214" t="s">
        <v>116</v>
      </c>
      <c r="C214">
        <v>4</v>
      </c>
      <c r="E214">
        <v>45755.55</v>
      </c>
    </row>
    <row r="215" spans="1:8">
      <c r="A215" t="s">
        <v>115</v>
      </c>
      <c r="B215" t="s">
        <v>116</v>
      </c>
      <c r="C215">
        <v>3</v>
      </c>
      <c r="E215">
        <v>46946.58</v>
      </c>
      <c r="H215">
        <v>1.022</v>
      </c>
    </row>
    <row r="216" spans="1:8">
      <c r="A216" t="s">
        <v>115</v>
      </c>
      <c r="B216" t="s">
        <v>116</v>
      </c>
      <c r="C216">
        <v>2</v>
      </c>
      <c r="E216">
        <v>47247.98</v>
      </c>
      <c r="H216">
        <v>0.70199999999999996</v>
      </c>
    </row>
    <row r="217" spans="1:8">
      <c r="B217" t="s">
        <v>117</v>
      </c>
      <c r="C217">
        <v>3</v>
      </c>
    </row>
    <row r="218" spans="1:8">
      <c r="B218" t="s">
        <v>117</v>
      </c>
      <c r="C218">
        <v>2</v>
      </c>
      <c r="E218">
        <v>45923.360000000001</v>
      </c>
      <c r="H218">
        <v>1.089</v>
      </c>
    </row>
    <row r="219" spans="1:8">
      <c r="B219" t="s">
        <v>117</v>
      </c>
      <c r="C219">
        <v>1</v>
      </c>
      <c r="E219">
        <v>46499.7</v>
      </c>
      <c r="H219">
        <v>0.72</v>
      </c>
    </row>
    <row r="220" spans="1:8">
      <c r="B220" t="s">
        <v>118</v>
      </c>
      <c r="C220">
        <v>1</v>
      </c>
      <c r="E220">
        <v>45978.14</v>
      </c>
      <c r="H220">
        <v>0.44</v>
      </c>
    </row>
    <row r="221" spans="1:8">
      <c r="B221" t="s">
        <v>119</v>
      </c>
      <c r="C221">
        <v>1</v>
      </c>
      <c r="E221">
        <v>46056.23</v>
      </c>
      <c r="H221">
        <v>1.115</v>
      </c>
    </row>
    <row r="222" spans="1:8">
      <c r="B222" t="s">
        <v>120</v>
      </c>
      <c r="C222">
        <v>4</v>
      </c>
      <c r="E222">
        <v>46067.24</v>
      </c>
    </row>
    <row r="223" spans="1:8">
      <c r="B223" t="s">
        <v>121</v>
      </c>
      <c r="C223">
        <v>0</v>
      </c>
      <c r="E223">
        <v>46102.93</v>
      </c>
      <c r="H223">
        <v>0</v>
      </c>
    </row>
    <row r="224" spans="1:8">
      <c r="B224" t="s">
        <v>122</v>
      </c>
      <c r="C224">
        <v>4</v>
      </c>
      <c r="E224">
        <v>46273.2</v>
      </c>
    </row>
    <row r="225" spans="1:8">
      <c r="B225" t="s">
        <v>123</v>
      </c>
      <c r="C225">
        <v>4</v>
      </c>
      <c r="E225">
        <v>46400.58</v>
      </c>
    </row>
    <row r="226" spans="1:8">
      <c r="A226" t="s">
        <v>124</v>
      </c>
      <c r="B226" t="s">
        <v>125</v>
      </c>
      <c r="C226">
        <v>5</v>
      </c>
      <c r="E226">
        <v>46495.05</v>
      </c>
      <c r="H226">
        <v>1.03</v>
      </c>
    </row>
    <row r="227" spans="1:8">
      <c r="A227" t="s">
        <v>126</v>
      </c>
      <c r="B227" t="s">
        <v>127</v>
      </c>
      <c r="C227">
        <v>1</v>
      </c>
      <c r="E227">
        <v>46528.26</v>
      </c>
      <c r="H227">
        <v>1.05</v>
      </c>
    </row>
    <row r="228" spans="1:8">
      <c r="B228" t="s">
        <v>128</v>
      </c>
      <c r="C228">
        <v>4</v>
      </c>
      <c r="E228">
        <v>46695.02</v>
      </c>
    </row>
    <row r="229" spans="1:8">
      <c r="A229" t="s">
        <v>107</v>
      </c>
      <c r="B229" t="s">
        <v>129</v>
      </c>
      <c r="C229">
        <v>3</v>
      </c>
      <c r="E229">
        <v>46746.35</v>
      </c>
    </row>
    <row r="230" spans="1:8">
      <c r="A230" t="s">
        <v>107</v>
      </c>
      <c r="B230" t="s">
        <v>129</v>
      </c>
      <c r="C230">
        <v>2</v>
      </c>
      <c r="E230">
        <v>46803.6</v>
      </c>
    </row>
    <row r="231" spans="1:8">
      <c r="A231" t="s">
        <v>107</v>
      </c>
      <c r="B231" t="s">
        <v>129</v>
      </c>
      <c r="C231">
        <v>1</v>
      </c>
      <c r="E231">
        <v>47500.54</v>
      </c>
    </row>
    <row r="232" spans="1:8">
      <c r="B232" t="s">
        <v>130</v>
      </c>
      <c r="C232">
        <v>1</v>
      </c>
      <c r="E232">
        <v>46789.23</v>
      </c>
    </row>
    <row r="233" spans="1:8">
      <c r="A233" t="s">
        <v>131</v>
      </c>
      <c r="B233" t="s">
        <v>132</v>
      </c>
      <c r="C233">
        <v>1</v>
      </c>
    </row>
    <row r="234" spans="1:8">
      <c r="A234" t="s">
        <v>131</v>
      </c>
      <c r="B234" t="s">
        <v>132</v>
      </c>
      <c r="C234">
        <v>2</v>
      </c>
    </row>
    <row r="235" spans="1:8">
      <c r="A235" t="s">
        <v>131</v>
      </c>
      <c r="B235" t="s">
        <v>132</v>
      </c>
      <c r="C235">
        <v>5</v>
      </c>
      <c r="E235">
        <v>46906.32</v>
      </c>
    </row>
    <row r="236" spans="1:8">
      <c r="A236" t="s">
        <v>131</v>
      </c>
      <c r="B236" t="s">
        <v>132</v>
      </c>
      <c r="C236">
        <v>4</v>
      </c>
      <c r="E236">
        <v>48543.88</v>
      </c>
    </row>
    <row r="237" spans="1:8">
      <c r="A237" t="s">
        <v>131</v>
      </c>
      <c r="B237" t="s">
        <v>132</v>
      </c>
      <c r="C237">
        <v>3</v>
      </c>
      <c r="E237">
        <v>48809.279999999999</v>
      </c>
    </row>
    <row r="238" spans="1:8">
      <c r="A238" t="s">
        <v>131</v>
      </c>
      <c r="B238" t="s">
        <v>133</v>
      </c>
      <c r="C238">
        <v>0</v>
      </c>
    </row>
    <row r="239" spans="1:8">
      <c r="A239" t="s">
        <v>131</v>
      </c>
      <c r="B239" t="s">
        <v>133</v>
      </c>
      <c r="C239">
        <v>4</v>
      </c>
      <c r="E239">
        <v>46972.42</v>
      </c>
      <c r="H239">
        <v>1.36</v>
      </c>
    </row>
    <row r="240" spans="1:8">
      <c r="A240" t="s">
        <v>131</v>
      </c>
      <c r="B240" t="s">
        <v>133</v>
      </c>
      <c r="C240">
        <v>3</v>
      </c>
      <c r="E240">
        <v>47188.32</v>
      </c>
    </row>
    <row r="241" spans="1:8">
      <c r="A241" t="s">
        <v>131</v>
      </c>
      <c r="B241" t="s">
        <v>133</v>
      </c>
      <c r="C241">
        <v>2</v>
      </c>
      <c r="E241">
        <v>48720.87</v>
      </c>
    </row>
    <row r="242" spans="1:8">
      <c r="A242" t="s">
        <v>131</v>
      </c>
      <c r="B242" t="s">
        <v>133</v>
      </c>
      <c r="C242">
        <v>1</v>
      </c>
      <c r="E242">
        <v>49513.33</v>
      </c>
      <c r="F242" t="s">
        <v>34</v>
      </c>
    </row>
    <row r="243" spans="1:8">
      <c r="A243" t="s">
        <v>131</v>
      </c>
      <c r="B243" t="s">
        <v>134</v>
      </c>
      <c r="C243">
        <v>2</v>
      </c>
    </row>
    <row r="244" spans="1:8">
      <c r="A244" t="s">
        <v>131</v>
      </c>
      <c r="B244" t="s">
        <v>134</v>
      </c>
      <c r="C244">
        <v>4</v>
      </c>
    </row>
    <row r="245" spans="1:8">
      <c r="A245" t="s">
        <v>131</v>
      </c>
      <c r="B245" t="s">
        <v>134</v>
      </c>
      <c r="C245">
        <v>6</v>
      </c>
      <c r="E245">
        <v>46991.15</v>
      </c>
    </row>
    <row r="246" spans="1:8">
      <c r="A246" t="s">
        <v>131</v>
      </c>
      <c r="B246" t="s">
        <v>134</v>
      </c>
      <c r="C246">
        <v>5</v>
      </c>
      <c r="E246">
        <v>48521.77</v>
      </c>
    </row>
    <row r="247" spans="1:8">
      <c r="A247" t="s">
        <v>131</v>
      </c>
      <c r="B247" t="s">
        <v>134</v>
      </c>
      <c r="C247">
        <v>3</v>
      </c>
      <c r="E247">
        <v>49553.73</v>
      </c>
    </row>
    <row r="248" spans="1:8">
      <c r="B248" t="s">
        <v>135</v>
      </c>
      <c r="C248">
        <v>3</v>
      </c>
      <c r="E248">
        <v>47046.54</v>
      </c>
      <c r="H248">
        <v>1.0580000000000001</v>
      </c>
    </row>
    <row r="249" spans="1:8">
      <c r="A249" t="s">
        <v>131</v>
      </c>
      <c r="B249" t="s">
        <v>136</v>
      </c>
      <c r="C249">
        <v>5</v>
      </c>
      <c r="E249">
        <v>47084.800000000003</v>
      </c>
      <c r="H249">
        <v>1.19</v>
      </c>
    </row>
    <row r="250" spans="1:8">
      <c r="A250" t="s">
        <v>131</v>
      </c>
      <c r="B250" t="s">
        <v>136</v>
      </c>
      <c r="C250">
        <v>4</v>
      </c>
      <c r="E250">
        <v>48727.68</v>
      </c>
    </row>
    <row r="251" spans="1:8">
      <c r="A251" t="s">
        <v>131</v>
      </c>
      <c r="B251" t="s">
        <v>136</v>
      </c>
      <c r="C251">
        <v>3</v>
      </c>
      <c r="E251">
        <v>49675.97</v>
      </c>
    </row>
    <row r="252" spans="1:8">
      <c r="B252" t="s">
        <v>137</v>
      </c>
      <c r="C252">
        <v>4</v>
      </c>
      <c r="E252">
        <v>47157.279999999999</v>
      </c>
      <c r="H252">
        <v>1.24</v>
      </c>
    </row>
    <row r="253" spans="1:8">
      <c r="B253" t="s">
        <v>138</v>
      </c>
      <c r="C253">
        <v>0</v>
      </c>
      <c r="E253">
        <v>47176.9</v>
      </c>
    </row>
    <row r="254" spans="1:8">
      <c r="B254" t="s">
        <v>139</v>
      </c>
      <c r="C254">
        <v>4</v>
      </c>
      <c r="E254">
        <v>47261.52</v>
      </c>
      <c r="H254">
        <v>1.1200000000000001</v>
      </c>
    </row>
    <row r="255" spans="1:8">
      <c r="A255" t="s">
        <v>115</v>
      </c>
      <c r="B255" t="s">
        <v>140</v>
      </c>
      <c r="C255">
        <v>1</v>
      </c>
    </row>
    <row r="256" spans="1:8">
      <c r="A256" t="s">
        <v>115</v>
      </c>
      <c r="B256" t="s">
        <v>140</v>
      </c>
      <c r="C256">
        <v>3</v>
      </c>
      <c r="E256">
        <v>47339.32</v>
      </c>
      <c r="H256">
        <v>1.377</v>
      </c>
    </row>
    <row r="257" spans="1:8">
      <c r="A257" t="s">
        <v>115</v>
      </c>
      <c r="B257" t="s">
        <v>140</v>
      </c>
      <c r="C257">
        <v>2</v>
      </c>
      <c r="E257">
        <v>47547.33</v>
      </c>
      <c r="H257">
        <v>1.0569999999999999</v>
      </c>
    </row>
    <row r="258" spans="1:8">
      <c r="B258" t="s">
        <v>141</v>
      </c>
      <c r="C258">
        <v>2</v>
      </c>
      <c r="E258">
        <v>47345.1</v>
      </c>
      <c r="H258">
        <v>1.55</v>
      </c>
    </row>
    <row r="259" spans="1:8">
      <c r="B259" t="s">
        <v>142</v>
      </c>
      <c r="C259">
        <v>5</v>
      </c>
      <c r="E259">
        <v>47425.17</v>
      </c>
    </row>
    <row r="260" spans="1:8">
      <c r="B260" t="s">
        <v>143</v>
      </c>
      <c r="C260">
        <v>4</v>
      </c>
      <c r="E260">
        <v>47486.96</v>
      </c>
    </row>
    <row r="261" spans="1:8">
      <c r="B261" t="s">
        <v>144</v>
      </c>
      <c r="C261">
        <v>3</v>
      </c>
      <c r="E261">
        <v>47526.09</v>
      </c>
      <c r="H261">
        <v>1.1339999999999999</v>
      </c>
    </row>
    <row r="262" spans="1:8">
      <c r="B262" t="s">
        <v>145</v>
      </c>
      <c r="C262">
        <v>3</v>
      </c>
      <c r="E262">
        <v>47635.33</v>
      </c>
      <c r="H262">
        <v>1.06</v>
      </c>
    </row>
    <row r="263" spans="1:8">
      <c r="B263" t="s">
        <v>146</v>
      </c>
      <c r="C263">
        <v>5</v>
      </c>
      <c r="E263">
        <v>47642.87</v>
      </c>
    </row>
    <row r="264" spans="1:8">
      <c r="B264" t="s">
        <v>147</v>
      </c>
      <c r="C264">
        <v>3</v>
      </c>
      <c r="E264">
        <v>47788.72</v>
      </c>
    </row>
    <row r="265" spans="1:8">
      <c r="B265" t="s">
        <v>148</v>
      </c>
      <c r="C265">
        <v>1</v>
      </c>
      <c r="E265">
        <v>47809.11</v>
      </c>
    </row>
    <row r="266" spans="1:8">
      <c r="B266" t="s">
        <v>149</v>
      </c>
      <c r="C266">
        <v>4</v>
      </c>
      <c r="E266">
        <v>47817.84</v>
      </c>
    </row>
    <row r="267" spans="1:8">
      <c r="B267" t="s">
        <v>150</v>
      </c>
      <c r="C267">
        <v>3</v>
      </c>
      <c r="E267">
        <v>47868.35</v>
      </c>
      <c r="H267">
        <v>1.3089999999999999</v>
      </c>
    </row>
    <row r="268" spans="1:8">
      <c r="B268" t="s">
        <v>151</v>
      </c>
      <c r="C268">
        <v>3</v>
      </c>
      <c r="E268">
        <v>48003</v>
      </c>
    </row>
    <row r="269" spans="1:8">
      <c r="B269" t="s">
        <v>152</v>
      </c>
      <c r="C269">
        <v>4</v>
      </c>
      <c r="E269">
        <v>48109.32</v>
      </c>
    </row>
    <row r="270" spans="1:8">
      <c r="B270" t="s">
        <v>153</v>
      </c>
      <c r="C270">
        <v>4</v>
      </c>
      <c r="E270">
        <v>48143.98</v>
      </c>
    </row>
    <row r="271" spans="1:8">
      <c r="B271" t="s">
        <v>154</v>
      </c>
      <c r="C271">
        <v>2</v>
      </c>
      <c r="E271">
        <v>48164.79</v>
      </c>
    </row>
    <row r="272" spans="1:8">
      <c r="B272" t="s">
        <v>155</v>
      </c>
      <c r="C272">
        <v>2</v>
      </c>
      <c r="E272">
        <v>48326.73</v>
      </c>
      <c r="H272">
        <v>1.08</v>
      </c>
    </row>
    <row r="273" spans="1:8">
      <c r="A273" t="s">
        <v>156</v>
      </c>
      <c r="B273" t="s">
        <v>157</v>
      </c>
      <c r="C273">
        <v>5</v>
      </c>
      <c r="E273">
        <v>48386.33</v>
      </c>
      <c r="H273">
        <v>1.6020000000000001</v>
      </c>
    </row>
    <row r="274" spans="1:8">
      <c r="A274" t="s">
        <v>156</v>
      </c>
      <c r="B274" t="s">
        <v>157</v>
      </c>
      <c r="C274">
        <v>4</v>
      </c>
      <c r="E274">
        <v>49235.15</v>
      </c>
      <c r="H274">
        <v>1.649</v>
      </c>
    </row>
    <row r="275" spans="1:8">
      <c r="A275" t="s">
        <v>156</v>
      </c>
      <c r="B275" t="s">
        <v>157</v>
      </c>
      <c r="C275">
        <v>3</v>
      </c>
      <c r="E275">
        <v>50016.7</v>
      </c>
    </row>
    <row r="276" spans="1:8">
      <c r="A276" t="s">
        <v>156</v>
      </c>
      <c r="B276" t="s">
        <v>157</v>
      </c>
      <c r="C276">
        <v>2</v>
      </c>
      <c r="E276">
        <v>50539.81</v>
      </c>
    </row>
    <row r="277" spans="1:8">
      <c r="A277" t="s">
        <v>156</v>
      </c>
      <c r="B277" t="s">
        <v>157</v>
      </c>
      <c r="C277">
        <v>1</v>
      </c>
      <c r="E277">
        <v>50618.879999999997</v>
      </c>
    </row>
    <row r="278" spans="1:8">
      <c r="B278" t="s">
        <v>158</v>
      </c>
      <c r="C278">
        <v>3</v>
      </c>
      <c r="E278">
        <v>48405.09</v>
      </c>
      <c r="H278">
        <v>1.1399999999999999</v>
      </c>
    </row>
    <row r="279" spans="1:8">
      <c r="A279" t="s">
        <v>131</v>
      </c>
      <c r="B279" t="s">
        <v>159</v>
      </c>
      <c r="C279">
        <v>1</v>
      </c>
    </row>
    <row r="280" spans="1:8">
      <c r="A280" t="s">
        <v>131</v>
      </c>
      <c r="B280" t="s">
        <v>159</v>
      </c>
      <c r="C280">
        <v>3</v>
      </c>
      <c r="E280">
        <v>48489.66</v>
      </c>
      <c r="H280">
        <v>1.28</v>
      </c>
    </row>
    <row r="281" spans="1:8">
      <c r="A281" t="s">
        <v>131</v>
      </c>
      <c r="B281" t="s">
        <v>159</v>
      </c>
      <c r="C281">
        <v>2</v>
      </c>
      <c r="E281">
        <v>49757.88</v>
      </c>
    </row>
    <row r="282" spans="1:8">
      <c r="B282" t="s">
        <v>160</v>
      </c>
      <c r="C282">
        <v>3</v>
      </c>
      <c r="E282">
        <v>48493.01</v>
      </c>
    </row>
    <row r="283" spans="1:8">
      <c r="B283" t="s">
        <v>161</v>
      </c>
      <c r="C283">
        <v>5</v>
      </c>
      <c r="E283">
        <v>48503.3</v>
      </c>
    </row>
    <row r="284" spans="1:8">
      <c r="B284" t="s">
        <v>162</v>
      </c>
      <c r="C284" t="s">
        <v>163</v>
      </c>
      <c r="E284">
        <v>48570.85</v>
      </c>
    </row>
    <row r="285" spans="1:8">
      <c r="B285" t="s">
        <v>164</v>
      </c>
      <c r="C285">
        <v>4</v>
      </c>
      <c r="E285">
        <v>48597.45</v>
      </c>
      <c r="H285">
        <v>1.208</v>
      </c>
    </row>
    <row r="286" spans="1:8">
      <c r="B286" t="s">
        <v>165</v>
      </c>
      <c r="C286">
        <v>1</v>
      </c>
      <c r="E286">
        <v>48604.34</v>
      </c>
      <c r="H286">
        <v>2.06</v>
      </c>
    </row>
    <row r="287" spans="1:8">
      <c r="B287" t="s">
        <v>166</v>
      </c>
      <c r="C287">
        <v>3</v>
      </c>
      <c r="E287">
        <v>48765.88</v>
      </c>
    </row>
    <row r="288" spans="1:8">
      <c r="B288" t="s">
        <v>167</v>
      </c>
      <c r="C288">
        <v>2</v>
      </c>
      <c r="E288">
        <v>48779.15</v>
      </c>
    </row>
    <row r="289" spans="1:8">
      <c r="B289" t="s">
        <v>168</v>
      </c>
      <c r="C289">
        <v>4</v>
      </c>
      <c r="E289">
        <v>48853.69</v>
      </c>
      <c r="H289">
        <v>1.23</v>
      </c>
    </row>
    <row r="290" spans="1:8">
      <c r="B290" t="s">
        <v>169</v>
      </c>
      <c r="C290">
        <v>3</v>
      </c>
      <c r="E290">
        <v>48933.93</v>
      </c>
    </row>
    <row r="291" spans="1:8">
      <c r="B291" t="s">
        <v>170</v>
      </c>
      <c r="C291">
        <v>2</v>
      </c>
      <c r="E291">
        <v>49037.35</v>
      </c>
    </row>
    <row r="292" spans="1:8">
      <c r="B292" t="s">
        <v>171</v>
      </c>
      <c r="C292">
        <v>1</v>
      </c>
      <c r="E292">
        <v>49047.61</v>
      </c>
    </row>
    <row r="293" spans="1:8">
      <c r="B293" t="s">
        <v>172</v>
      </c>
      <c r="C293">
        <v>3</v>
      </c>
      <c r="E293">
        <v>49141.42</v>
      </c>
    </row>
    <row r="294" spans="1:8">
      <c r="B294" t="s">
        <v>173</v>
      </c>
      <c r="C294">
        <v>4</v>
      </c>
      <c r="E294">
        <v>49165.05</v>
      </c>
    </row>
    <row r="295" spans="1:8">
      <c r="A295" t="s">
        <v>174</v>
      </c>
      <c r="B295" t="s">
        <v>175</v>
      </c>
      <c r="C295">
        <v>1</v>
      </c>
    </row>
    <row r="296" spans="1:8">
      <c r="A296" t="s">
        <v>174</v>
      </c>
      <c r="B296" t="s">
        <v>175</v>
      </c>
      <c r="C296">
        <v>3</v>
      </c>
      <c r="E296">
        <v>49291.06</v>
      </c>
    </row>
    <row r="297" spans="1:8">
      <c r="A297" t="s">
        <v>174</v>
      </c>
      <c r="B297" t="s">
        <v>175</v>
      </c>
      <c r="C297">
        <v>2</v>
      </c>
      <c r="E297">
        <v>50172.84</v>
      </c>
    </row>
    <row r="298" spans="1:8">
      <c r="B298" t="s">
        <v>176</v>
      </c>
      <c r="C298">
        <v>3</v>
      </c>
      <c r="E298">
        <v>49303.88</v>
      </c>
      <c r="F298" t="s">
        <v>34</v>
      </c>
    </row>
    <row r="299" spans="1:8">
      <c r="B299" t="s">
        <v>177</v>
      </c>
      <c r="C299">
        <v>1</v>
      </c>
      <c r="E299">
        <v>49408.97</v>
      </c>
    </row>
    <row r="300" spans="1:8">
      <c r="B300" t="s">
        <v>178</v>
      </c>
      <c r="C300">
        <v>2</v>
      </c>
      <c r="E300">
        <v>49417.5</v>
      </c>
    </row>
    <row r="301" spans="1:8">
      <c r="B301" t="s">
        <v>179</v>
      </c>
      <c r="C301" t="s">
        <v>180</v>
      </c>
      <c r="E301">
        <v>49447.53</v>
      </c>
    </row>
    <row r="302" spans="1:8">
      <c r="A302" t="s">
        <v>181</v>
      </c>
      <c r="B302" t="s">
        <v>182</v>
      </c>
      <c r="C302">
        <v>2</v>
      </c>
      <c r="E302">
        <v>49489.56</v>
      </c>
    </row>
    <row r="303" spans="1:8">
      <c r="B303" t="s">
        <v>183</v>
      </c>
      <c r="C303">
        <v>5</v>
      </c>
      <c r="E303">
        <v>49592.9</v>
      </c>
    </row>
    <row r="304" spans="1:8">
      <c r="A304" t="s">
        <v>184</v>
      </c>
      <c r="B304" t="s">
        <v>185</v>
      </c>
      <c r="C304">
        <v>3</v>
      </c>
    </row>
    <row r="305" spans="1:8">
      <c r="A305" t="s">
        <v>184</v>
      </c>
      <c r="B305" t="s">
        <v>185</v>
      </c>
      <c r="C305">
        <v>5</v>
      </c>
    </row>
    <row r="306" spans="1:8">
      <c r="A306" t="s">
        <v>184</v>
      </c>
      <c r="B306" t="s">
        <v>185</v>
      </c>
      <c r="C306">
        <v>4</v>
      </c>
      <c r="E306">
        <v>49624.26</v>
      </c>
    </row>
    <row r="307" spans="1:8">
      <c r="A307" t="s">
        <v>184</v>
      </c>
      <c r="B307" t="s">
        <v>185</v>
      </c>
      <c r="C307">
        <v>2</v>
      </c>
      <c r="E307">
        <v>51058.64</v>
      </c>
    </row>
    <row r="308" spans="1:8">
      <c r="A308" t="s">
        <v>184</v>
      </c>
      <c r="B308" t="s">
        <v>185</v>
      </c>
      <c r="C308">
        <v>1</v>
      </c>
      <c r="E308">
        <v>52729.8</v>
      </c>
    </row>
    <row r="309" spans="1:8">
      <c r="B309" t="s">
        <v>186</v>
      </c>
      <c r="C309">
        <v>4</v>
      </c>
      <c r="E309">
        <v>49722.18</v>
      </c>
    </row>
    <row r="310" spans="1:8">
      <c r="B310" t="s">
        <v>187</v>
      </c>
      <c r="C310">
        <v>1</v>
      </c>
      <c r="E310">
        <v>49761.61</v>
      </c>
    </row>
    <row r="311" spans="1:8">
      <c r="B311" t="s">
        <v>188</v>
      </c>
      <c r="C311" t="s">
        <v>163</v>
      </c>
      <c r="E311">
        <v>49918.28</v>
      </c>
      <c r="F311" t="s">
        <v>34</v>
      </c>
    </row>
    <row r="312" spans="1:8">
      <c r="B312" t="s">
        <v>189</v>
      </c>
      <c r="C312">
        <v>3</v>
      </c>
    </row>
    <row r="313" spans="1:8">
      <c r="B313" t="s">
        <v>189</v>
      </c>
      <c r="C313">
        <v>4</v>
      </c>
      <c r="E313">
        <v>49949.25</v>
      </c>
    </row>
    <row r="314" spans="1:8">
      <c r="B314" t="s">
        <v>189</v>
      </c>
      <c r="C314">
        <v>5</v>
      </c>
      <c r="E314">
        <v>50122.41</v>
      </c>
      <c r="H314">
        <v>1.1599999999999999</v>
      </c>
    </row>
    <row r="315" spans="1:8">
      <c r="B315" t="s">
        <v>190</v>
      </c>
      <c r="C315">
        <v>2</v>
      </c>
      <c r="E315">
        <v>49970.65</v>
      </c>
    </row>
    <row r="316" spans="1:8">
      <c r="B316" t="s">
        <v>191</v>
      </c>
      <c r="C316">
        <v>2</v>
      </c>
      <c r="E316">
        <v>50027.96</v>
      </c>
    </row>
    <row r="317" spans="1:8">
      <c r="B317" t="s">
        <v>192</v>
      </c>
      <c r="C317">
        <v>1</v>
      </c>
      <c r="E317">
        <v>50192.07</v>
      </c>
    </row>
    <row r="318" spans="1:8">
      <c r="B318" t="s">
        <v>193</v>
      </c>
      <c r="C318">
        <v>1</v>
      </c>
      <c r="E318">
        <v>50338.99</v>
      </c>
    </row>
    <row r="319" spans="1:8">
      <c r="A319" t="s">
        <v>156</v>
      </c>
      <c r="B319" t="s">
        <v>194</v>
      </c>
      <c r="C319">
        <v>0</v>
      </c>
    </row>
    <row r="320" spans="1:8">
      <c r="A320" t="s">
        <v>156</v>
      </c>
      <c r="B320" t="s">
        <v>194</v>
      </c>
      <c r="C320">
        <v>1</v>
      </c>
    </row>
    <row r="321" spans="1:9">
      <c r="A321" t="s">
        <v>156</v>
      </c>
      <c r="B321" t="s">
        <v>194</v>
      </c>
      <c r="C321">
        <v>4</v>
      </c>
      <c r="E321">
        <v>50350.52</v>
      </c>
    </row>
    <row r="322" spans="1:9">
      <c r="A322" t="s">
        <v>156</v>
      </c>
      <c r="B322" t="s">
        <v>194</v>
      </c>
      <c r="C322">
        <v>3</v>
      </c>
      <c r="E322">
        <v>51364.82</v>
      </c>
    </row>
    <row r="323" spans="1:9">
      <c r="A323" t="s">
        <v>156</v>
      </c>
      <c r="B323" t="s">
        <v>194</v>
      </c>
      <c r="C323">
        <v>2</v>
      </c>
      <c r="E323">
        <v>52001.35</v>
      </c>
    </row>
    <row r="324" spans="1:9">
      <c r="B324" t="s">
        <v>195</v>
      </c>
      <c r="C324">
        <v>3</v>
      </c>
      <c r="E324">
        <v>50351.93</v>
      </c>
    </row>
    <row r="325" spans="1:9">
      <c r="B325" t="s">
        <v>196</v>
      </c>
      <c r="C325">
        <v>1</v>
      </c>
      <c r="E325">
        <v>50772.05</v>
      </c>
    </row>
    <row r="326" spans="1:9">
      <c r="B326" t="s">
        <v>197</v>
      </c>
      <c r="C326">
        <v>4</v>
      </c>
      <c r="E326">
        <v>51360.21</v>
      </c>
      <c r="H326">
        <v>1.0940000000000001</v>
      </c>
    </row>
    <row r="327" spans="1:9">
      <c r="B327" t="s">
        <v>198</v>
      </c>
      <c r="C327">
        <v>3</v>
      </c>
      <c r="E327">
        <v>52455.23</v>
      </c>
    </row>
    <row r="328" spans="1:9">
      <c r="B328" t="s">
        <v>199</v>
      </c>
      <c r="C328">
        <v>4</v>
      </c>
      <c r="E328">
        <v>53717.63</v>
      </c>
    </row>
    <row r="329" spans="1:9">
      <c r="B329" t="s">
        <v>200</v>
      </c>
      <c r="C329">
        <v>4</v>
      </c>
      <c r="E329">
        <v>54043.38</v>
      </c>
    </row>
    <row r="330" spans="1:9">
      <c r="A330" t="s">
        <v>201</v>
      </c>
      <c r="B330" t="s">
        <v>202</v>
      </c>
      <c r="C330" t="s">
        <v>203</v>
      </c>
      <c r="E330">
        <v>59366.400000000001</v>
      </c>
      <c r="G330">
        <v>0.4</v>
      </c>
      <c r="I330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</vt:lpstr>
      <vt:lpstr>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Irikura, Karl K. Dr. (Fed)</dc:creator>
  <cp:lastModifiedBy>Irikura, Karl K. Dr. (Fed)</cp:lastModifiedBy>
  <dcterms:created xsi:type="dcterms:W3CDTF">2015-06-05T18:17:20Z</dcterms:created>
  <dcterms:modified xsi:type="dcterms:W3CDTF">2023-04-25T21:12:53Z</dcterms:modified>
</cp:coreProperties>
</file>