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Pb_molecules/"/>
    </mc:Choice>
  </mc:AlternateContent>
  <xr:revisionPtr revIDLastSave="659" documentId="8_{1F9B5BDD-7066-4C01-9735-39DF589FD76C}" xr6:coauthVersionLast="47" xr6:coauthVersionMax="47" xr10:uidLastSave="{7BA15FA6-33CB-4635-971D-A6ACBFC47DD8}"/>
  <bookViews>
    <workbookView xWindow="-120" yWindow="-120" windowWidth="25440" windowHeight="15270" activeTab="5" xr2:uid="{00000000-000D-0000-FFFF-FFFF00000000}"/>
  </bookViews>
  <sheets>
    <sheet name="Molpro" sheetId="1" r:id="rId1"/>
    <sheet name="F12b" sheetId="4" r:id="rId2"/>
    <sheet name="reactions basisset" sheetId="5" r:id="rId3"/>
    <sheet name="extrapolated" sheetId="2" r:id="rId4"/>
    <sheet name="ZPE" sheetId="3" r:id="rId5"/>
    <sheet name="SOC" sheetId="6" r:id="rId6"/>
  </sheets>
  <definedNames>
    <definedName name="vbias">SOC!$D$10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6" l="1"/>
  <c r="K6" i="6"/>
  <c r="G14" i="2" l="1"/>
  <c r="G13" i="3"/>
  <c r="G10" i="3"/>
  <c r="G12" i="3"/>
  <c r="G9" i="3"/>
  <c r="F12" i="3"/>
  <c r="F13" i="3" s="1"/>
  <c r="F9" i="3"/>
  <c r="F10" i="3" s="1"/>
  <c r="G7" i="3"/>
  <c r="F7" i="3"/>
  <c r="G6" i="3"/>
  <c r="F6" i="3"/>
  <c r="G5" i="3"/>
  <c r="F5" i="3"/>
  <c r="G4" i="3"/>
  <c r="F4" i="3"/>
  <c r="G3" i="3"/>
  <c r="F3" i="3"/>
  <c r="G2" i="3"/>
  <c r="F2" i="3"/>
  <c r="B16" i="6"/>
  <c r="D16" i="6" s="1"/>
  <c r="B15" i="6"/>
  <c r="D15" i="6" s="1"/>
  <c r="B12" i="6"/>
  <c r="D12" i="6" s="1"/>
  <c r="D34" i="6"/>
  <c r="D33" i="6"/>
  <c r="C34" i="6"/>
  <c r="C33" i="6"/>
  <c r="B34" i="6"/>
  <c r="B33" i="6"/>
  <c r="J14" i="6"/>
  <c r="H29" i="6"/>
  <c r="H28" i="6"/>
  <c r="H27" i="6"/>
  <c r="H26" i="6"/>
  <c r="H25" i="6"/>
  <c r="H24" i="6"/>
  <c r="B17" i="6"/>
  <c r="D17" i="6" s="1"/>
  <c r="B13" i="6"/>
  <c r="D13" i="6" s="1"/>
  <c r="R26" i="6"/>
  <c r="G31" i="6"/>
  <c r="R29" i="6"/>
  <c r="R28" i="6"/>
  <c r="R27" i="6"/>
  <c r="R25" i="6"/>
  <c r="R24" i="6"/>
  <c r="A34" i="6"/>
  <c r="A33" i="6"/>
  <c r="M29" i="6"/>
  <c r="M28" i="6"/>
  <c r="M27" i="6"/>
  <c r="M26" i="6"/>
  <c r="M25" i="6"/>
  <c r="M24" i="6"/>
  <c r="F33" i="6" l="1"/>
  <c r="M33" i="6" s="1"/>
  <c r="F34" i="6"/>
  <c r="M34" i="6" s="1"/>
  <c r="N29" i="2" s="1"/>
  <c r="E33" i="6"/>
  <c r="L33" i="6" s="1"/>
  <c r="E34" i="6"/>
  <c r="L34" i="6" s="1"/>
  <c r="M29" i="2" s="1"/>
  <c r="K14" i="6"/>
  <c r="C14" i="6"/>
  <c r="C29" i="6"/>
  <c r="C28" i="6"/>
  <c r="C27" i="6"/>
  <c r="C26" i="6"/>
  <c r="C25" i="6"/>
  <c r="C24" i="6"/>
  <c r="C17" i="6"/>
  <c r="C16" i="6"/>
  <c r="C15" i="6"/>
  <c r="C13" i="6"/>
  <c r="C12" i="6"/>
  <c r="K4" i="6"/>
  <c r="K3" i="6"/>
  <c r="D17" i="5" l="1"/>
  <c r="D16" i="5"/>
  <c r="C17" i="5"/>
  <c r="C16" i="5"/>
  <c r="B17" i="5"/>
  <c r="B16" i="5"/>
  <c r="D15" i="5"/>
  <c r="D14" i="5"/>
  <c r="D13" i="5"/>
  <c r="C15" i="5"/>
  <c r="C14" i="5"/>
  <c r="C13" i="5"/>
  <c r="B15" i="5"/>
  <c r="B14" i="5"/>
  <c r="B13" i="5"/>
  <c r="D8" i="5"/>
  <c r="D7" i="5"/>
  <c r="C8" i="5"/>
  <c r="C7" i="5"/>
  <c r="B8" i="5"/>
  <c r="B7" i="5"/>
  <c r="D6" i="5"/>
  <c r="D5" i="5"/>
  <c r="D4" i="5"/>
  <c r="C6" i="5"/>
  <c r="C5" i="5"/>
  <c r="C4" i="5"/>
  <c r="B6" i="5"/>
  <c r="B5" i="5"/>
  <c r="B4" i="5"/>
  <c r="E19" i="2"/>
  <c r="D19" i="2"/>
  <c r="C12" i="3"/>
  <c r="C13" i="3" s="1"/>
  <c r="B12" i="3"/>
  <c r="B13" i="3" s="1"/>
  <c r="C9" i="3"/>
  <c r="C10" i="3" s="1"/>
  <c r="B9" i="3"/>
  <c r="B10" i="3" s="1"/>
  <c r="B24" i="2" l="1"/>
  <c r="E24" i="2" s="1"/>
  <c r="B26" i="2"/>
  <c r="E26" i="2" s="1"/>
  <c r="B25" i="2"/>
  <c r="E25" i="2" s="1"/>
  <c r="B21" i="2"/>
  <c r="B22" i="2"/>
  <c r="B23" i="2"/>
  <c r="C23" i="2" s="1"/>
  <c r="F23" i="2" s="1"/>
  <c r="F14" i="2"/>
  <c r="E14" i="2"/>
  <c r="D14" i="2"/>
  <c r="C14" i="2"/>
  <c r="B14" i="2"/>
  <c r="B15" i="2" s="1"/>
  <c r="G15" i="2"/>
  <c r="J15" i="2" s="1"/>
  <c r="F15" i="2"/>
  <c r="E15" i="2"/>
  <c r="D15" i="2"/>
  <c r="C15" i="2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E23" i="2" l="1"/>
  <c r="B28" i="2"/>
  <c r="C24" i="2"/>
  <c r="F24" i="2" s="1"/>
  <c r="B29" i="2"/>
  <c r="C25" i="2"/>
  <c r="F25" i="2" s="1"/>
  <c r="C26" i="2"/>
  <c r="F26" i="2" s="1"/>
  <c r="E22" i="2"/>
  <c r="C22" i="2"/>
  <c r="F22" i="2" s="1"/>
  <c r="E21" i="2"/>
  <c r="C21" i="2"/>
  <c r="J8" i="2"/>
  <c r="E29" i="2" l="1"/>
  <c r="E28" i="2"/>
  <c r="F21" i="2"/>
  <c r="C28" i="2"/>
  <c r="C29" i="2"/>
</calcChain>
</file>

<file path=xl/sharedStrings.xml><?xml version="1.0" encoding="utf-8"?>
<sst xmlns="http://schemas.openxmlformats.org/spreadsheetml/2006/main" count="202" uniqueCount="79">
  <si>
    <t>Species</t>
  </si>
  <si>
    <t>HF/actzpp</t>
  </si>
  <si>
    <t>CCSD/actzpp</t>
  </si>
  <si>
    <t>CCSD(T)/actzpp</t>
  </si>
  <si>
    <t>HF/acqzpp</t>
  </si>
  <si>
    <t>CCSD/acqzpp</t>
  </si>
  <si>
    <t>CCSD(T)/acqzpp</t>
  </si>
  <si>
    <t>HF/ac5zpp</t>
  </si>
  <si>
    <t>CCSD/ac5zpp</t>
  </si>
  <si>
    <t>CCSD(T)/ac5zpp</t>
  </si>
  <si>
    <t>PbCl2</t>
  </si>
  <si>
    <t>H2O</t>
  </si>
  <si>
    <t>PbO</t>
  </si>
  <si>
    <t>HCl</t>
  </si>
  <si>
    <t>HF</t>
  </si>
  <si>
    <t>CCSD</t>
  </si>
  <si>
    <t>CCSD(T)</t>
  </si>
  <si>
    <t>D_HF</t>
  </si>
  <si>
    <t>D_CCSD</t>
  </si>
  <si>
    <t>D_CCSD(T)</t>
  </si>
  <si>
    <t>Reaction PbCl2 + H2O = PbO + 2 HCl</t>
  </si>
  <si>
    <t>kJ/mol</t>
  </si>
  <si>
    <t>Cl2</t>
  </si>
  <si>
    <t>H2</t>
  </si>
  <si>
    <t>Reaction PbCl2 + H2O = PbO + Cl2 + H2</t>
  </si>
  <si>
    <t>ZPE-th/cm-1</t>
  </si>
  <si>
    <t>ZPE-expt</t>
  </si>
  <si>
    <t>SOC effect (difference between CCSD(T)/ac2z energies with DC and SPINFREE Hamiltonians)</t>
  </si>
  <si>
    <t>SCF</t>
  </si>
  <si>
    <t>u_est =</t>
  </si>
  <si>
    <t>(difference between theor and exptl est ZPE)</t>
  </si>
  <si>
    <t>(distance of CCSD(T) basis-set extrapolation)</t>
  </si>
  <si>
    <t>diff from above</t>
  </si>
  <si>
    <t>Alternative basis-set extrapolation using (n+a)^-3 scaling of total energy</t>
  </si>
  <si>
    <t>a =</t>
  </si>
  <si>
    <t>CABS/(a)TZPP</t>
  </si>
  <si>
    <t>CCSD/(a)TZPP</t>
  </si>
  <si>
    <t>CCSD(T)/(a)TZPP</t>
  </si>
  <si>
    <t>CABS/(a)QZPP</t>
  </si>
  <si>
    <t>CCSD/(a)QZPP</t>
  </si>
  <si>
    <t>CCSD(T)/(a)QZPP</t>
  </si>
  <si>
    <t>tz</t>
  </si>
  <si>
    <t>qz</t>
  </si>
  <si>
    <t>5z</t>
  </si>
  <si>
    <t>tz-f12</t>
  </si>
  <si>
    <t>qz-f12</t>
  </si>
  <si>
    <t>Bassisset</t>
  </si>
  <si>
    <t>SOC/cm-1</t>
  </si>
  <si>
    <t>value assumed</t>
  </si>
  <si>
    <t>Cl(K) frozen</t>
  </si>
  <si>
    <t>comment</t>
  </si>
  <si>
    <t>SOC from SO-CI/acdz calculations as for actz</t>
  </si>
  <si>
    <t>PbO, vertical - adiabatic</t>
  </si>
  <si>
    <t>SOC from SO-CI/acqz calculations as for actz</t>
  </si>
  <si>
    <t>acdz</t>
  </si>
  <si>
    <t>actz</t>
  </si>
  <si>
    <t>acqz</t>
  </si>
  <si>
    <t>ac5z</t>
  </si>
  <si>
    <t>SOC from SO-CI/ac5z calculations as for actz</t>
  </si>
  <si>
    <t xml:space="preserve"> </t>
  </si>
  <si>
    <t>vertical SOC from SO-CI/actz at actz-pp geoms</t>
  </si>
  <si>
    <t>R=1.9218</t>
  </si>
  <si>
    <t>Reaction PbCl2 + H2O = PbO + 2 HCl, vertical</t>
  </si>
  <si>
    <t>Reaction PbCl2 + H2O = PbO + Cl2 + H2, vertical</t>
  </si>
  <si>
    <t>VPT2/actz</t>
  </si>
  <si>
    <t>SOC, best estimates</t>
  </si>
  <si>
    <t>Cl(KL) frozen; with correction for vertical bias</t>
  </si>
  <si>
    <t>best</t>
  </si>
  <si>
    <t>u(best)</t>
  </si>
  <si>
    <t>u/cm-1</t>
  </si>
  <si>
    <t>from Atsu, adiabatic, ac5zpp; unc est = 20 cm-1</t>
  </si>
  <si>
    <t>u(expt)</t>
  </si>
  <si>
    <t>ZPE-sel</t>
  </si>
  <si>
    <t>u(sel)</t>
  </si>
  <si>
    <t>Net with ZPE and SOC (kJ/mol)</t>
  </si>
  <si>
    <t>dH0</t>
  </si>
  <si>
    <t>u</t>
  </si>
  <si>
    <t>Same but with v3z basis sets (values from Excel embedded within OneNote)</t>
  </si>
  <si>
    <t>multiplicative correction for bias (user 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</si>
</sst>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165" fontId="1" fillId="0" borderId="0" xfId="0" applyNumberFormat="1" applyFont="1"/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sqref="A1:A7"/>
    </sheetView>
  </sheetViews>
  <sheetFormatPr defaultRowHeight="14.5" x14ac:dyDescent="0.35"/>
  <cols>
    <col min="1" max="1" width="7.7265625" bestFit="1" customWidth="1"/>
    <col min="2" max="2" width="12.26953125" bestFit="1" customWidth="1"/>
    <col min="3" max="3" width="12.54296875" bestFit="1" customWidth="1"/>
    <col min="4" max="4" width="15.1796875" bestFit="1" customWidth="1"/>
    <col min="5" max="5" width="12.26953125" bestFit="1" customWidth="1"/>
    <col min="6" max="6" width="13" bestFit="1" customWidth="1"/>
    <col min="7" max="7" width="15.54296875" bestFit="1" customWidth="1"/>
    <col min="8" max="8" width="12.54296875" bestFit="1" customWidth="1"/>
    <col min="9" max="9" width="12.81640625" bestFit="1" customWidth="1"/>
    <col min="10" max="10" width="15.4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s="2">
        <v>-1110.9981258385301</v>
      </c>
      <c r="C2" s="2">
        <v>-1112.7173390011601</v>
      </c>
      <c r="D2" s="2">
        <v>-1112.7670171431801</v>
      </c>
      <c r="E2" s="2">
        <v>-1111.0047111920301</v>
      </c>
      <c r="F2" s="2">
        <v>-1113.04332667113</v>
      </c>
      <c r="G2" s="2">
        <v>-1113.1025285092701</v>
      </c>
      <c r="H2" s="2">
        <v>-1111.00572821163</v>
      </c>
      <c r="I2" s="2">
        <v>-1113.18201227587</v>
      </c>
      <c r="J2" s="2">
        <v>-1113.2450611367999</v>
      </c>
    </row>
    <row r="3" spans="1:10" x14ac:dyDescent="0.35">
      <c r="A3" t="s">
        <v>11</v>
      </c>
      <c r="B3" s="2">
        <v>-76.060532269999996</v>
      </c>
      <c r="C3" s="2">
        <v>-76.390486580000001</v>
      </c>
      <c r="D3" s="2">
        <v>-76.399839080000007</v>
      </c>
      <c r="E3" s="2">
        <v>-76.065806010000003</v>
      </c>
      <c r="F3" s="2">
        <v>-76.414775730000002</v>
      </c>
      <c r="G3" s="2">
        <v>-76.42475039</v>
      </c>
      <c r="H3" s="2">
        <v>-76.067079039999996</v>
      </c>
      <c r="I3" s="2">
        <v>-76.422096159999995</v>
      </c>
      <c r="J3" s="2">
        <v>-76.43227503</v>
      </c>
    </row>
    <row r="4" spans="1:10" x14ac:dyDescent="0.35">
      <c r="A4" t="s">
        <v>12</v>
      </c>
      <c r="B4" s="2">
        <v>-266.68237149999999</v>
      </c>
      <c r="C4" s="2">
        <v>-267.69752499999998</v>
      </c>
      <c r="D4" s="2">
        <v>-267.74384459999999</v>
      </c>
      <c r="E4" s="2">
        <v>-266.68708290000001</v>
      </c>
      <c r="F4" s="2">
        <v>-267.85482189999999</v>
      </c>
      <c r="G4" s="2">
        <v>-267.90792729999998</v>
      </c>
      <c r="H4" s="2">
        <v>-266.68822699999998</v>
      </c>
      <c r="I4" s="2">
        <v>-267.92081830000001</v>
      </c>
      <c r="J4" s="2">
        <v>-267.97675679999998</v>
      </c>
    </row>
    <row r="5" spans="1:10" x14ac:dyDescent="0.35">
      <c r="A5" t="s">
        <v>13</v>
      </c>
      <c r="B5" s="2">
        <v>-460.10887380000003</v>
      </c>
      <c r="C5" s="2">
        <v>-460.6409099</v>
      </c>
      <c r="D5" s="2">
        <v>-460.65245069999997</v>
      </c>
      <c r="E5" s="2">
        <v>-460.1121546</v>
      </c>
      <c r="F5" s="2">
        <v>-460.73492649999997</v>
      </c>
      <c r="G5" s="2">
        <v>-460.74807970000001</v>
      </c>
      <c r="H5" s="2">
        <v>-460.11269229999999</v>
      </c>
      <c r="I5" s="2">
        <v>-460.77426980000001</v>
      </c>
      <c r="J5" s="2">
        <v>-460.78797889999998</v>
      </c>
    </row>
    <row r="6" spans="1:10" x14ac:dyDescent="0.35">
      <c r="A6" t="s">
        <v>22</v>
      </c>
      <c r="B6" s="2">
        <v>-919.00252890000002</v>
      </c>
      <c r="C6" s="2">
        <v>-920.03054559999998</v>
      </c>
      <c r="D6" s="2">
        <v>-920.05613319999998</v>
      </c>
      <c r="E6" s="2">
        <v>-919.00916159999997</v>
      </c>
      <c r="F6" s="2">
        <v>-920.21838430000003</v>
      </c>
      <c r="G6" s="2">
        <v>-920.24752779999994</v>
      </c>
      <c r="H6" s="2">
        <v>-919.01022279999995</v>
      </c>
      <c r="I6" s="2">
        <v>-920.29741239999998</v>
      </c>
      <c r="J6" s="2">
        <v>-920.32779070000004</v>
      </c>
    </row>
    <row r="7" spans="1:10" x14ac:dyDescent="0.35">
      <c r="A7" t="s">
        <v>23</v>
      </c>
      <c r="B7" s="2">
        <v>-1.1330045900000001</v>
      </c>
      <c r="C7" s="2">
        <v>-1.1726355799999999</v>
      </c>
      <c r="D7" s="2">
        <v>-1.1726355799999999</v>
      </c>
      <c r="E7" s="2">
        <v>-1.1334487799999999</v>
      </c>
      <c r="F7" s="2">
        <v>-1.1738667899999999</v>
      </c>
      <c r="G7" s="2">
        <v>-1.1738667899999999</v>
      </c>
      <c r="H7" s="2">
        <v>-1.13358593</v>
      </c>
      <c r="I7" s="2">
        <v>-1.17425095</v>
      </c>
      <c r="J7" s="2">
        <v>-1.17425095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956E-0E23-437E-91B1-6B1F546443E1}">
  <dimension ref="A1:G7"/>
  <sheetViews>
    <sheetView workbookViewId="0">
      <selection activeCell="H4" sqref="H4"/>
    </sheetView>
  </sheetViews>
  <sheetFormatPr defaultRowHeight="14.5" x14ac:dyDescent="0.35"/>
  <cols>
    <col min="2" max="3" width="13.26953125" bestFit="1" customWidth="1"/>
    <col min="4" max="4" width="15.7265625" bestFit="1" customWidth="1"/>
    <col min="5" max="6" width="13.7265625" bestFit="1" customWidth="1"/>
    <col min="7" max="7" width="16.1796875" bestFit="1" customWidth="1"/>
  </cols>
  <sheetData>
    <row r="1" spans="1:7" x14ac:dyDescent="0.35">
      <c r="A1" s="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35">
      <c r="A2" t="s">
        <v>10</v>
      </c>
      <c r="B2" s="2">
        <v>-1111.00488781677</v>
      </c>
      <c r="C2" s="2">
        <v>-1113.1797676932199</v>
      </c>
      <c r="D2" s="2">
        <v>-1113.2198157305299</v>
      </c>
      <c r="E2">
        <v>-1111.00575155716</v>
      </c>
      <c r="F2">
        <v>-1113.2249824507401</v>
      </c>
      <c r="G2">
        <v>-1113.2722492041601</v>
      </c>
    </row>
    <row r="3" spans="1:7" x14ac:dyDescent="0.35">
      <c r="A3" t="s">
        <v>11</v>
      </c>
      <c r="B3">
        <v>-76.066755599999993</v>
      </c>
      <c r="C3">
        <v>-76.423055160000004</v>
      </c>
      <c r="D3">
        <v>-76.432300650000002</v>
      </c>
      <c r="E3">
        <v>-76.06710124</v>
      </c>
      <c r="F3">
        <v>-76.426275110000006</v>
      </c>
      <c r="G3">
        <v>-76.436117980000006</v>
      </c>
    </row>
    <row r="4" spans="1:7" x14ac:dyDescent="0.35">
      <c r="A4" t="s">
        <v>12</v>
      </c>
      <c r="B4">
        <v>-266.68789801028203</v>
      </c>
      <c r="C4">
        <v>-267.92505456939199</v>
      </c>
      <c r="D4">
        <v>-267.96274105205202</v>
      </c>
      <c r="E4">
        <v>-266.68822048706801</v>
      </c>
      <c r="F4">
        <v>-267.93294391110999</v>
      </c>
      <c r="G4">
        <v>-267.97505546481301</v>
      </c>
    </row>
    <row r="5" spans="1:7" x14ac:dyDescent="0.35">
      <c r="A5" t="s">
        <v>13</v>
      </c>
      <c r="B5">
        <v>-460.11228060000002</v>
      </c>
      <c r="C5">
        <v>-460.77179630000001</v>
      </c>
      <c r="D5">
        <v>-460.78290779999998</v>
      </c>
      <c r="E5">
        <v>-460.11271240000002</v>
      </c>
      <c r="F5">
        <v>-460.79135230000003</v>
      </c>
      <c r="G5">
        <v>-460.80397470000003</v>
      </c>
    </row>
    <row r="6" spans="1:7" x14ac:dyDescent="0.35">
      <c r="A6" t="s">
        <v>22</v>
      </c>
      <c r="B6">
        <v>-919.00941599999999</v>
      </c>
      <c r="C6">
        <v>-920.29330470000002</v>
      </c>
      <c r="D6">
        <v>-920.31803749999995</v>
      </c>
      <c r="E6">
        <v>-919.01024930000005</v>
      </c>
      <c r="F6">
        <v>-920.33193830000005</v>
      </c>
      <c r="G6">
        <v>-920.35999179999999</v>
      </c>
    </row>
    <row r="7" spans="1:7" x14ac:dyDescent="0.35">
      <c r="A7" t="s">
        <v>23</v>
      </c>
      <c r="B7">
        <v>-1.1334649999999999</v>
      </c>
      <c r="C7">
        <v>-1.17405333</v>
      </c>
      <c r="D7">
        <v>-1.17405333</v>
      </c>
      <c r="E7">
        <v>-1.13358867</v>
      </c>
      <c r="F7">
        <v>-1.17433703</v>
      </c>
      <c r="G7">
        <v>-1.17433703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F64A-71AD-47E1-BE14-92B0A0A8DB5D}">
  <dimension ref="A1:E17"/>
  <sheetViews>
    <sheetView workbookViewId="0">
      <selection activeCell="D7" sqref="D7"/>
    </sheetView>
  </sheetViews>
  <sheetFormatPr defaultRowHeight="14.5" x14ac:dyDescent="0.35"/>
  <sheetData>
    <row r="1" spans="1:5" x14ac:dyDescent="0.35">
      <c r="A1" s="1" t="s">
        <v>20</v>
      </c>
    </row>
    <row r="3" spans="1:5" x14ac:dyDescent="0.35">
      <c r="A3" t="s">
        <v>46</v>
      </c>
      <c r="B3" t="s">
        <v>14</v>
      </c>
      <c r="C3" t="s">
        <v>15</v>
      </c>
      <c r="D3" t="s">
        <v>16</v>
      </c>
    </row>
    <row r="4" spans="1:5" x14ac:dyDescent="0.35">
      <c r="A4" t="s">
        <v>41</v>
      </c>
      <c r="B4" s="3">
        <f>2625.5*(Molpro!B4+2*Molpro!B5-Molpro!B2-Molpro!B3)</f>
        <v>416.2441668957739</v>
      </c>
      <c r="C4" s="3">
        <f>2625.5*(Molpro!C4+2*Molpro!C5-Molpro!C2-Molpro!C3)</f>
        <v>337.32629093574894</v>
      </c>
      <c r="D4" s="3">
        <f>2625.5*(Molpro!D4+2*Molpro!D5-Molpro!D2-Molpro!D3)</f>
        <v>310.09839095941754</v>
      </c>
      <c r="E4" t="s">
        <v>21</v>
      </c>
    </row>
    <row r="5" spans="1:5" x14ac:dyDescent="0.35">
      <c r="A5" t="s">
        <v>42</v>
      </c>
      <c r="B5" s="3">
        <f>2625.5*(Molpro!E4+2*Molpro!E5-Molpro!E2-Molpro!E3)</f>
        <v>417.78295537981154</v>
      </c>
      <c r="C5" s="3">
        <f>2625.5*(Molpro!F4+2*Molpro!F5-Molpro!F2-Molpro!F3)</f>
        <v>350.31390421681709</v>
      </c>
      <c r="D5" s="3">
        <f>2625.5*(Molpro!G4+2*Molpro!G5-Molpro!G2-Molpro!G3)</f>
        <v>323.44111918392838</v>
      </c>
    </row>
    <row r="6" spans="1:5" x14ac:dyDescent="0.35">
      <c r="A6" t="s">
        <v>43</v>
      </c>
      <c r="B6" s="3">
        <f>2625.5*(Molpro!H4+2*Molpro!H5-Molpro!H2-Molpro!H3)</f>
        <v>417.96818335452809</v>
      </c>
      <c r="C6" s="3">
        <f>2625.5*(Molpro!I4+2*Molpro!I5-Molpro!I2-Molpro!I3)</f>
        <v>353.78753192664146</v>
      </c>
      <c r="D6" s="3">
        <f>2625.5*(Molpro!J4+2*Molpro!J5-Molpro!J2-Molpro!J3)</f>
        <v>327.19392363329308</v>
      </c>
    </row>
    <row r="7" spans="1:5" x14ac:dyDescent="0.35">
      <c r="A7" t="s">
        <v>44</v>
      </c>
      <c r="B7" s="3">
        <f>2625.5*(F12b!B4+2*F12b!B5-F12b!B2-F12b!B3)</f>
        <v>417.93813413377711</v>
      </c>
      <c r="C7" s="3">
        <f>2625.5*(F12b!C4+2*F12b!C5-F12b!C2-F12b!C3)</f>
        <v>352.27825789031471</v>
      </c>
      <c r="D7" s="3">
        <f>2625.5*(F12b!D4+2*F12b!D5-F12b!D2-F12b!D3)</f>
        <v>324.40606711891411</v>
      </c>
    </row>
    <row r="8" spans="1:5" x14ac:dyDescent="0.35">
      <c r="A8" t="s">
        <v>45</v>
      </c>
      <c r="B8" s="3">
        <f>2625.5*(F12b!E4+2*F12b!E5-F12b!E2-F12b!E3)</f>
        <v>417.99931774659046</v>
      </c>
      <c r="C8" s="3">
        <f>2625.5*(F12b!F4+2*F12b!F5-F12b!F2-F12b!F3)</f>
        <v>356.04155980335565</v>
      </c>
      <c r="D8" s="3">
        <f>2625.5*(F12b!G4+2*F12b!G5-F12b!G2-F12b!G3)</f>
        <v>329.13876944541187</v>
      </c>
    </row>
    <row r="11" spans="1:5" x14ac:dyDescent="0.35">
      <c r="A11" s="1" t="s">
        <v>24</v>
      </c>
    </row>
    <row r="12" spans="1:5" x14ac:dyDescent="0.35">
      <c r="A12" t="s">
        <v>46</v>
      </c>
      <c r="B12" t="s">
        <v>14</v>
      </c>
      <c r="C12" t="s">
        <v>15</v>
      </c>
      <c r="D12" t="s">
        <v>16</v>
      </c>
      <c r="E12" t="s">
        <v>21</v>
      </c>
    </row>
    <row r="13" spans="1:5" x14ac:dyDescent="0.35">
      <c r="A13" t="s">
        <v>41</v>
      </c>
      <c r="B13" s="3">
        <f>2625.5*(Molpro!B4+Molpro!B6+Molpro!B7-Molpro!B2-Molpro!B3)</f>
        <v>632.09731270076168</v>
      </c>
      <c r="C13" s="3">
        <f>2625.5*(Molpro!C4+Molpro!C6+Molpro!C7-Molpro!C2-Molpro!C3)</f>
        <v>543.79198774632607</v>
      </c>
      <c r="D13" s="3">
        <f>2625.5*(Molpro!D4+Molpro!D6+Molpro!D7-Molpro!D2-Molpro!D3)</f>
        <v>509.98458476989117</v>
      </c>
    </row>
    <row r="14" spans="1:5" x14ac:dyDescent="0.35">
      <c r="A14" t="s">
        <v>42</v>
      </c>
      <c r="B14" s="3">
        <f>2625.5*(Molpro!E4+Molpro!E6+Molpro!E7-Molpro!E2-Molpro!E3)</f>
        <v>632.2832072902213</v>
      </c>
      <c r="C14" s="3">
        <f>2625.5*(Molpro!F4+Molpro!F6+Molpro!F7-Molpro!F2-Molpro!F3)</f>
        <v>554.05771892211158</v>
      </c>
      <c r="D14" s="3">
        <f>2625.5*(Molpro!G4+Molpro!G6+Molpro!G7-Molpro!G2-Molpro!G3)</f>
        <v>519.73612783901592</v>
      </c>
    </row>
    <row r="15" spans="1:5" x14ac:dyDescent="0.35">
      <c r="A15" t="s">
        <v>43</v>
      </c>
      <c r="B15" s="3">
        <f>2625.5*(Molpro!H4+Molpro!H6+Molpro!H7-Molpro!H2-Molpro!H3)</f>
        <v>632.14563003966339</v>
      </c>
      <c r="C15" s="3">
        <f>2625.5*(Molpro!I4+Molpro!I6+Molpro!I7-Molpro!I2-Molpro!I3)</f>
        <v>555.62612630148692</v>
      </c>
      <c r="D15" s="3">
        <f>2625.5*(Molpro!J4+Molpro!J6+Molpro!J7-Molpro!J2-Molpro!J3)</f>
        <v>521.26077545844839</v>
      </c>
    </row>
    <row r="16" spans="1:5" x14ac:dyDescent="0.35">
      <c r="A16" t="s">
        <v>44</v>
      </c>
      <c r="B16" s="3">
        <f>2625.5*(F12b!B4+F12b!B6+F12b!B7-F12b!B2-F12b!B3)</f>
        <v>632.38949923420876</v>
      </c>
      <c r="C16" s="3">
        <f>2625.5*(F12b!C4+F12b!C6+F12b!C7-F12b!C2-F12b!C3)</f>
        <v>552.43212142470963</v>
      </c>
      <c r="D16" s="3">
        <f>2625.5*(F12b!D4+F12b!D6+F12b!D7-F12b!D2-F12b!D3)</f>
        <v>517.97045075364849</v>
      </c>
    </row>
    <row r="17" spans="1:4" x14ac:dyDescent="0.35">
      <c r="A17" t="s">
        <v>45</v>
      </c>
      <c r="B17" s="3">
        <f>2625.5*(F12b!E4+F12b!E6+F12b!E7-F12b!E2-F12b!E3)</f>
        <v>632.20553991127099</v>
      </c>
      <c r="C17" s="3">
        <f>2625.5*(F12b!F4+F12b!F6+F12b!F7-F12b!F2-F12b!F3)</f>
        <v>556.70660818851945</v>
      </c>
      <c r="D17" s="3">
        <f>2625.5*(F12b!G4+F12b!G6+F12b!G7-F12b!G2-F12b!G3)</f>
        <v>522.42957598041914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7F7B-4F5A-4DFE-A873-DF9CDA45FD1D}">
  <dimension ref="A1:U30"/>
  <sheetViews>
    <sheetView workbookViewId="0">
      <selection activeCell="M29" sqref="M29:N29"/>
    </sheetView>
  </sheetViews>
  <sheetFormatPr defaultRowHeight="14.5" x14ac:dyDescent="0.35"/>
  <cols>
    <col min="2" max="2" width="13.453125" bestFit="1" customWidth="1"/>
    <col min="3" max="3" width="12.453125" bestFit="1" customWidth="1"/>
    <col min="4" max="4" width="12.26953125" bestFit="1" customWidth="1"/>
    <col min="5" max="7" width="9.54296875" bestFit="1" customWidth="1"/>
  </cols>
  <sheetData>
    <row r="1" spans="1:21" x14ac:dyDescent="0.3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21" x14ac:dyDescent="0.35">
      <c r="A2" t="s">
        <v>10</v>
      </c>
      <c r="B2" s="2">
        <v>-1111.0059378549099</v>
      </c>
      <c r="C2" s="2">
        <v>-1113.37132711852</v>
      </c>
      <c r="D2" s="2">
        <v>-1113.4396603514101</v>
      </c>
      <c r="E2" s="2">
        <v>-2.0964328700756501E-4</v>
      </c>
      <c r="F2" s="2">
        <v>-0.18931484265526399</v>
      </c>
      <c r="G2" s="2">
        <v>-0.19459921461933199</v>
      </c>
      <c r="U2" s="2"/>
    </row>
    <row r="3" spans="1:21" x14ac:dyDescent="0.35">
      <c r="A3" t="s">
        <v>11</v>
      </c>
      <c r="B3" s="2">
        <v>-76.067341455978706</v>
      </c>
      <c r="C3" s="2">
        <v>-76.430665444110602</v>
      </c>
      <c r="D3" s="2">
        <v>-76.441124822352407</v>
      </c>
      <c r="E3" s="2">
        <v>-2.6241597879561498E-4</v>
      </c>
      <c r="F3" s="2">
        <v>-8.56928411066365E-3</v>
      </c>
      <c r="G3" s="2">
        <v>-8.8497923524312096E-3</v>
      </c>
      <c r="U3" s="2"/>
    </row>
    <row r="4" spans="1:21" x14ac:dyDescent="0.35">
      <c r="A4" t="s">
        <v>12</v>
      </c>
      <c r="B4" s="2">
        <v>-266.68846283899899</v>
      </c>
      <c r="C4" s="2">
        <v>-268.01013696866897</v>
      </c>
      <c r="D4" s="2">
        <v>-268.06996708954802</v>
      </c>
      <c r="E4" s="2">
        <v>-2.3583899934464999E-4</v>
      </c>
      <c r="F4" s="2">
        <v>-8.93186686697304E-2</v>
      </c>
      <c r="G4" s="2">
        <v>-9.3210289548817299E-2</v>
      </c>
      <c r="U4" s="2"/>
    </row>
    <row r="5" spans="1:21" x14ac:dyDescent="0.35">
      <c r="A5" t="s">
        <v>13</v>
      </c>
      <c r="B5" s="2">
        <v>-460.11280313876398</v>
      </c>
      <c r="C5" s="2">
        <v>-460.82768503436802</v>
      </c>
      <c r="D5" s="2">
        <v>-460.842157733269</v>
      </c>
      <c r="E5" s="2">
        <v>-1.10838764044274E-4</v>
      </c>
      <c r="F5" s="2">
        <v>-5.3415234368503102E-2</v>
      </c>
      <c r="G5" s="2">
        <v>-5.41788332695168E-2</v>
      </c>
      <c r="U5" s="2"/>
    </row>
    <row r="6" spans="1:21" x14ac:dyDescent="0.35">
      <c r="U6" s="2"/>
    </row>
    <row r="7" spans="1:21" x14ac:dyDescent="0.35">
      <c r="B7" s="2">
        <f>B4+2*B5-B2-B3</f>
        <v>0.15921019436173367</v>
      </c>
      <c r="C7" s="2">
        <f t="shared" ref="C7:G7" si="0">C4+2*C5-C2-C3</f>
        <v>0.13648552522560919</v>
      </c>
      <c r="D7" s="2">
        <f t="shared" si="0"/>
        <v>0.12650261767643656</v>
      </c>
      <c r="E7" s="2">
        <f t="shared" si="0"/>
        <v>1.4542738369982002E-5</v>
      </c>
      <c r="F7" s="2">
        <f t="shared" si="0"/>
        <v>1.7349893591910252E-3</v>
      </c>
      <c r="G7" s="2">
        <f t="shared" si="0"/>
        <v>1.8810508839123188E-3</v>
      </c>
      <c r="H7" s="1" t="s">
        <v>20</v>
      </c>
      <c r="R7" s="5"/>
      <c r="U7" s="2"/>
    </row>
    <row r="8" spans="1:21" x14ac:dyDescent="0.35">
      <c r="B8" s="3">
        <f>2625.5*B7</f>
        <v>418.00636529673176</v>
      </c>
      <c r="C8" s="3">
        <f t="shared" ref="C8:G8" si="1">2625.5*C7</f>
        <v>358.34274647983693</v>
      </c>
      <c r="D8" s="4">
        <f t="shared" si="1"/>
        <v>332.13262270948417</v>
      </c>
      <c r="E8" s="3">
        <f t="shared" si="1"/>
        <v>3.8181959590387747E-2</v>
      </c>
      <c r="F8" s="3">
        <f t="shared" si="1"/>
        <v>4.5552145625560367</v>
      </c>
      <c r="G8" s="4">
        <f t="shared" si="1"/>
        <v>4.9386990957117929</v>
      </c>
      <c r="H8" t="s">
        <v>21</v>
      </c>
      <c r="I8" t="s">
        <v>29</v>
      </c>
      <c r="J8" s="3">
        <f>G8</f>
        <v>4.9386990957117929</v>
      </c>
    </row>
    <row r="9" spans="1:21" x14ac:dyDescent="0.35">
      <c r="I9" t="s">
        <v>31</v>
      </c>
    </row>
    <row r="10" spans="1:21" x14ac:dyDescent="0.35">
      <c r="A10" t="s">
        <v>0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</row>
    <row r="11" spans="1:21" x14ac:dyDescent="0.35">
      <c r="A11" t="s">
        <v>22</v>
      </c>
      <c r="B11">
        <v>-919.01044155041097</v>
      </c>
      <c r="C11">
        <v>-920.40472854052098</v>
      </c>
      <c r="D11">
        <v>-920.43680299436801</v>
      </c>
      <c r="E11">
        <v>-2.1875041181829101E-4</v>
      </c>
      <c r="F11">
        <v>-0.107316140521678</v>
      </c>
      <c r="G11">
        <v>-0.109012294368016</v>
      </c>
    </row>
    <row r="12" spans="1:21" x14ac:dyDescent="0.35">
      <c r="A12" t="s">
        <v>23</v>
      </c>
      <c r="B12">
        <v>-1.13361420140875</v>
      </c>
      <c r="C12">
        <v>-1.1746185208593001</v>
      </c>
      <c r="D12">
        <v>-1.1746185208593001</v>
      </c>
      <c r="E12" s="5">
        <v>-2.8271408758939702E-5</v>
      </c>
      <c r="F12">
        <v>-3.6757085930845502E-4</v>
      </c>
      <c r="G12">
        <v>-3.6757085930845502E-4</v>
      </c>
    </row>
    <row r="14" spans="1:21" x14ac:dyDescent="0.35">
      <c r="B14" s="2">
        <f>B4+B11+B12-B2-B3</f>
        <v>0.24076072006978677</v>
      </c>
      <c r="C14" s="2">
        <f t="shared" ref="C14:F14" si="2">C4+C11+C12-C2-C3</f>
        <v>0.21250853258145241</v>
      </c>
      <c r="D14" s="2">
        <f t="shared" si="2"/>
        <v>0.19939656898722546</v>
      </c>
      <c r="E14" s="2">
        <f t="shared" si="2"/>
        <v>-1.0801554118700638E-5</v>
      </c>
      <c r="F14" s="2">
        <f t="shared" si="2"/>
        <v>8.8174671521079086E-4</v>
      </c>
      <c r="G14" s="2">
        <f>G4+G11+G12-G2-G3</f>
        <v>8.5885219562147584E-4</v>
      </c>
      <c r="H14" s="1" t="s">
        <v>24</v>
      </c>
    </row>
    <row r="15" spans="1:21" x14ac:dyDescent="0.35">
      <c r="B15" s="3">
        <f>2625.5*B14</f>
        <v>632.11727054322512</v>
      </c>
      <c r="C15" s="3">
        <f t="shared" ref="C15:G15" si="3">2625.5*C14</f>
        <v>557.94115229260331</v>
      </c>
      <c r="D15" s="4">
        <f t="shared" si="3"/>
        <v>523.51569187596044</v>
      </c>
      <c r="E15" s="3">
        <f t="shared" si="3"/>
        <v>-2.8359480338648525E-2</v>
      </c>
      <c r="F15" s="3">
        <f t="shared" si="3"/>
        <v>2.3150260007859313</v>
      </c>
      <c r="G15" s="4">
        <f t="shared" si="3"/>
        <v>2.2549164396041848</v>
      </c>
      <c r="H15" t="s">
        <v>21</v>
      </c>
      <c r="I15" t="s">
        <v>29</v>
      </c>
      <c r="J15" s="3">
        <f>G15</f>
        <v>2.2549164396041848</v>
      </c>
    </row>
    <row r="18" spans="1:14" x14ac:dyDescent="0.35">
      <c r="A18" t="s">
        <v>33</v>
      </c>
    </row>
    <row r="19" spans="1:14" x14ac:dyDescent="0.35">
      <c r="B19" s="6" t="s">
        <v>34</v>
      </c>
      <c r="C19">
        <v>0.5</v>
      </c>
      <c r="D19">
        <f>(4+C19)^3</f>
        <v>91.125</v>
      </c>
      <c r="E19">
        <f>(5+C19)^3</f>
        <v>166.375</v>
      </c>
    </row>
    <row r="20" spans="1:14" x14ac:dyDescent="0.35">
      <c r="A20" t="s">
        <v>0</v>
      </c>
      <c r="B20" t="s">
        <v>16</v>
      </c>
      <c r="C20" t="s">
        <v>19</v>
      </c>
      <c r="E20" t="s">
        <v>32</v>
      </c>
    </row>
    <row r="21" spans="1:14" x14ac:dyDescent="0.35">
      <c r="A21" t="s">
        <v>10</v>
      </c>
      <c r="B21" s="2">
        <f>($D$19*Molpro!G2-$E$19*Molpro!J2)/($D$19-$E$19)</f>
        <v>-1113.4176629399046</v>
      </c>
      <c r="C21" s="2">
        <f>B21-Molpro!J2</f>
        <v>-0.17260180310472606</v>
      </c>
      <c r="E21" s="2">
        <f>B21-D2</f>
        <v>2.1997411505481068E-2</v>
      </c>
      <c r="F21" s="2">
        <f>C21-G2</f>
        <v>2.1997411514605936E-2</v>
      </c>
    </row>
    <row r="22" spans="1:14" x14ac:dyDescent="0.35">
      <c r="A22" t="s">
        <v>11</v>
      </c>
      <c r="B22" s="2">
        <f>($D$19*Molpro!G3-$E$19*Molpro!J3)/($D$19-$E$19)</f>
        <v>-76.441387094053155</v>
      </c>
      <c r="C22" s="2">
        <f>B22-Molpro!J3</f>
        <v>-9.1120640531556774E-3</v>
      </c>
      <c r="E22" s="2">
        <f>B22-D3</f>
        <v>-2.6227170074832884E-4</v>
      </c>
      <c r="F22" s="2">
        <f>C22-G3</f>
        <v>-2.6227170072446772E-4</v>
      </c>
    </row>
    <row r="23" spans="1:14" x14ac:dyDescent="0.35">
      <c r="A23" t="s">
        <v>12</v>
      </c>
      <c r="B23" s="2">
        <f>($D$19*Molpro!G4-$E$19*Molpro!J4)/($D$19-$E$19)</f>
        <v>-268.06010680913619</v>
      </c>
      <c r="C23" s="2">
        <f>B23-Molpro!J4</f>
        <v>-8.3350009136211156E-2</v>
      </c>
      <c r="E23" s="2">
        <f>B23-D4</f>
        <v>9.8602804118286258E-3</v>
      </c>
      <c r="F23" s="2">
        <f>C23-G4</f>
        <v>9.8602804126061427E-3</v>
      </c>
    </row>
    <row r="24" spans="1:14" x14ac:dyDescent="0.35">
      <c r="A24" t="s">
        <v>13</v>
      </c>
      <c r="B24" s="2">
        <f>($D$19*Molpro!G5-$E$19*Molpro!J5)/($D$19-$E$19)</f>
        <v>-460.83629537308968</v>
      </c>
      <c r="C24" s="2">
        <f>B24-Molpro!J5</f>
        <v>-4.8316473089698775E-2</v>
      </c>
      <c r="E24" s="2">
        <f>B24-D5</f>
        <v>5.862360179321513E-3</v>
      </c>
      <c r="F24" s="2">
        <f>C24-G5</f>
        <v>5.8623601798180255E-3</v>
      </c>
    </row>
    <row r="25" spans="1:14" x14ac:dyDescent="0.35">
      <c r="A25" t="s">
        <v>22</v>
      </c>
      <c r="B25" s="2">
        <f>($D$19*Molpro!G6-$E$19*Molpro!J6)/($D$19-$E$19)</f>
        <v>-920.4249861387043</v>
      </c>
      <c r="C25" s="2">
        <f>B25-Molpro!J6</f>
        <v>-9.7195438704261505E-2</v>
      </c>
      <c r="E25" s="2">
        <f>B25-D11</f>
        <v>1.1816855663710157E-2</v>
      </c>
      <c r="F25" s="2">
        <f>C25-G11</f>
        <v>1.1816855663754497E-2</v>
      </c>
    </row>
    <row r="26" spans="1:14" x14ac:dyDescent="0.35">
      <c r="A26" t="s">
        <v>23</v>
      </c>
      <c r="B26" s="2">
        <f>($D$19*Molpro!G7-$E$19*Molpro!J7)/($D$19-$E$19)</f>
        <v>-1.1747161537209303</v>
      </c>
      <c r="C26" s="2">
        <f>B26-Molpro!J7</f>
        <v>-4.6520372093028506E-4</v>
      </c>
      <c r="E26" s="2">
        <f>B26-D12</f>
        <v>-9.7632861630225776E-5</v>
      </c>
      <c r="F26" s="2">
        <f>C26-G12</f>
        <v>-9.7632861621830039E-5</v>
      </c>
    </row>
    <row r="27" spans="1:14" x14ac:dyDescent="0.35">
      <c r="M27" t="s">
        <v>74</v>
      </c>
    </row>
    <row r="28" spans="1:14" x14ac:dyDescent="0.35">
      <c r="B28" s="3">
        <f>2625.5*(B23+2*B24-B21-B22)</f>
        <v>331.73843267518095</v>
      </c>
      <c r="C28" s="3">
        <f>2625.5*(C23+2*C24-C21-C22)</f>
        <v>4.5445090418878422</v>
      </c>
      <c r="E28" s="3">
        <f>2625.5*(E23+2*E24-E21-E22)</f>
        <v>-0.39419003445248535</v>
      </c>
      <c r="F28" s="3"/>
      <c r="G28" t="s">
        <v>21</v>
      </c>
      <c r="H28" s="1" t="s">
        <v>20</v>
      </c>
    </row>
    <row r="29" spans="1:14" x14ac:dyDescent="0.35">
      <c r="B29" s="3">
        <f>2625.5*(B23+B25+B26-B21-B22)</f>
        <v>523.10706800657954</v>
      </c>
      <c r="C29" s="3">
        <f>2625.5*(C23+C25+C26-C21-C22)</f>
        <v>1.8462925485550632</v>
      </c>
      <c r="E29" s="3">
        <f>2625.5*(E23+E25+E26-E21-E22)</f>
        <v>-0.4086238692088896</v>
      </c>
      <c r="F29" s="3"/>
      <c r="G29" t="s">
        <v>21</v>
      </c>
      <c r="H29" s="1" t="s">
        <v>24</v>
      </c>
      <c r="M29" s="4">
        <f>D15+ZPE!F13+SOC!L34</f>
        <v>487.50677012965247</v>
      </c>
      <c r="N29" s="4">
        <f>SQRT(G15^2+ZPE!G13^2+SOC!M34^2)</f>
        <v>2.2825883908043392</v>
      </c>
    </row>
    <row r="30" spans="1:14" x14ac:dyDescent="0.35">
      <c r="M30" t="s">
        <v>75</v>
      </c>
      <c r="N30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88D6-6EEB-4367-B74B-88B0F9876C9C}">
  <dimension ref="A1:J13"/>
  <sheetViews>
    <sheetView workbookViewId="0">
      <selection activeCell="G13" sqref="G13"/>
    </sheetView>
  </sheetViews>
  <sheetFormatPr defaultRowHeight="14.5" x14ac:dyDescent="0.35"/>
  <cols>
    <col min="1" max="1" width="10.26953125" bestFit="1" customWidth="1"/>
    <col min="2" max="2" width="12.453125" bestFit="1" customWidth="1"/>
    <col min="3" max="3" width="12.26953125" bestFit="1" customWidth="1"/>
  </cols>
  <sheetData>
    <row r="1" spans="1:10" x14ac:dyDescent="0.35">
      <c r="A1" t="s">
        <v>0</v>
      </c>
      <c r="B1" t="s">
        <v>25</v>
      </c>
      <c r="C1" t="s">
        <v>26</v>
      </c>
      <c r="D1" t="s">
        <v>71</v>
      </c>
      <c r="F1" t="s">
        <v>72</v>
      </c>
      <c r="G1" t="s">
        <v>73</v>
      </c>
      <c r="I1" t="s">
        <v>64</v>
      </c>
    </row>
    <row r="2" spans="1:10" x14ac:dyDescent="0.35">
      <c r="A2" t="s">
        <v>10</v>
      </c>
      <c r="B2" s="3">
        <v>366.75056000000001</v>
      </c>
      <c r="C2" s="3">
        <v>356</v>
      </c>
      <c r="D2" s="3"/>
      <c r="F2" s="3">
        <f>I2</f>
        <v>366.15480000000002</v>
      </c>
      <c r="G2" s="3">
        <f>0.5*(B2-C2)</f>
        <v>5.3752800000000036</v>
      </c>
      <c r="I2" s="3">
        <v>366.15480000000002</v>
      </c>
    </row>
    <row r="3" spans="1:10" x14ac:dyDescent="0.35">
      <c r="A3" t="s">
        <v>11</v>
      </c>
      <c r="B3" s="3">
        <v>4691.0163899999998</v>
      </c>
      <c r="C3" s="3">
        <v>4636</v>
      </c>
      <c r="D3">
        <v>10.3</v>
      </c>
      <c r="F3" s="3">
        <f>C3</f>
        <v>4636</v>
      </c>
      <c r="G3" s="3">
        <f>D3</f>
        <v>10.3</v>
      </c>
      <c r="I3" s="3">
        <v>4616.6758300000001</v>
      </c>
    </row>
    <row r="4" spans="1:10" x14ac:dyDescent="0.35">
      <c r="A4" t="s">
        <v>12</v>
      </c>
      <c r="B4" s="3">
        <v>365.7</v>
      </c>
      <c r="C4" s="3">
        <v>359.6</v>
      </c>
      <c r="D4">
        <v>0.32</v>
      </c>
      <c r="E4" s="3"/>
      <c r="F4" s="3">
        <f t="shared" ref="F4:F7" si="0">C4</f>
        <v>359.6</v>
      </c>
      <c r="G4" s="3">
        <f t="shared" ref="G4:G7" si="1">D4</f>
        <v>0.32</v>
      </c>
    </row>
    <row r="5" spans="1:10" x14ac:dyDescent="0.35">
      <c r="A5" t="s">
        <v>13</v>
      </c>
      <c r="B5" s="3">
        <v>1490.1</v>
      </c>
      <c r="C5" s="3">
        <v>1483.9</v>
      </c>
      <c r="D5">
        <v>0.02</v>
      </c>
      <c r="E5" s="3"/>
      <c r="F5" s="3">
        <f t="shared" si="0"/>
        <v>1483.9</v>
      </c>
      <c r="G5" s="3">
        <f t="shared" si="1"/>
        <v>0.02</v>
      </c>
    </row>
    <row r="6" spans="1:10" x14ac:dyDescent="0.35">
      <c r="A6" t="s">
        <v>22</v>
      </c>
      <c r="B6">
        <v>273.3</v>
      </c>
      <c r="C6">
        <v>279.22000000000003</v>
      </c>
      <c r="D6">
        <v>0.02</v>
      </c>
      <c r="E6" s="3"/>
      <c r="F6" s="3">
        <f t="shared" si="0"/>
        <v>279.22000000000003</v>
      </c>
      <c r="G6" s="3">
        <f t="shared" si="1"/>
        <v>0.02</v>
      </c>
    </row>
    <row r="7" spans="1:10" x14ac:dyDescent="0.35">
      <c r="A7" t="s">
        <v>23</v>
      </c>
      <c r="B7">
        <v>2177.1999999999998</v>
      </c>
      <c r="C7">
        <v>2179.3000000000002</v>
      </c>
      <c r="D7">
        <v>0.1</v>
      </c>
      <c r="E7" s="3"/>
      <c r="F7" s="3">
        <f t="shared" si="0"/>
        <v>2179.3000000000002</v>
      </c>
      <c r="G7" s="3">
        <f t="shared" si="1"/>
        <v>0.1</v>
      </c>
    </row>
    <row r="9" spans="1:10" x14ac:dyDescent="0.35">
      <c r="B9" s="3">
        <f>B4+2*B5-B2-B3</f>
        <v>-1711.8669500000001</v>
      </c>
      <c r="C9" s="3">
        <f t="shared" ref="C9" si="2">C4+2*C5-C2-C3</f>
        <v>-1664.6</v>
      </c>
      <c r="F9" s="3">
        <f t="shared" ref="F9" si="3">F4+2*F5-F2-F3</f>
        <v>-1674.7547999999997</v>
      </c>
      <c r="G9" s="3">
        <f>SQRT(G4^2+4*G5^2+G2^2+G3^2)</f>
        <v>11.622720640125532</v>
      </c>
      <c r="H9" s="1" t="s">
        <v>20</v>
      </c>
    </row>
    <row r="10" spans="1:10" x14ac:dyDescent="0.35">
      <c r="B10" s="3">
        <f>B9/83.5935</f>
        <v>-20.478469617853062</v>
      </c>
      <c r="C10" s="3">
        <f>C9/83.5935</f>
        <v>-19.913031515608267</v>
      </c>
      <c r="F10" s="3">
        <f>F9/83.5935</f>
        <v>-20.034509860216399</v>
      </c>
      <c r="G10" s="3">
        <f>G9/83.5935</f>
        <v>0.13903856926825089</v>
      </c>
      <c r="H10" t="s">
        <v>21</v>
      </c>
      <c r="J10" s="3"/>
    </row>
    <row r="11" spans="1:10" x14ac:dyDescent="0.35">
      <c r="I11" t="s">
        <v>30</v>
      </c>
    </row>
    <row r="12" spans="1:10" x14ac:dyDescent="0.35">
      <c r="B12" s="3">
        <f>B4+B6+B7-B2-B3</f>
        <v>-2241.5669499999999</v>
      </c>
      <c r="C12" s="3">
        <f>C4+C6+C7-C2-C3</f>
        <v>-2173.8799999999997</v>
      </c>
      <c r="F12" s="3">
        <f>F4+F6+F7-F2-F3</f>
        <v>-2184.0347999999994</v>
      </c>
      <c r="G12" s="3">
        <f>SQRT(G4^2+G6^2+G7^2+G2^2+G3^2)</f>
        <v>11.623099202811616</v>
      </c>
      <c r="H12" s="1" t="s">
        <v>24</v>
      </c>
    </row>
    <row r="13" spans="1:10" x14ac:dyDescent="0.35">
      <c r="B13" s="3">
        <f t="shared" ref="B13:C13" si="4">B12/83.5935</f>
        <v>-26.815086699324706</v>
      </c>
      <c r="C13" s="3">
        <f t="shared" si="4"/>
        <v>-26.00537123101676</v>
      </c>
      <c r="F13" s="3">
        <f t="shared" ref="F13" si="5">F12/83.5935</f>
        <v>-26.126849575624892</v>
      </c>
      <c r="G13" s="3">
        <f>G12/83.5935</f>
        <v>0.1390430978821513</v>
      </c>
      <c r="H13" t="s">
        <v>21</v>
      </c>
      <c r="J13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DF97-1B2E-4ED9-99B9-23409A72720C}">
  <dimension ref="A1:R34"/>
  <sheetViews>
    <sheetView tabSelected="1" workbookViewId="0">
      <selection activeCell="K31" sqref="K31"/>
    </sheetView>
  </sheetViews>
  <sheetFormatPr defaultRowHeight="14.5" x14ac:dyDescent="0.35"/>
  <cols>
    <col min="1" max="1" width="10.26953125" bestFit="1" customWidth="1"/>
    <col min="2" max="2" width="12.453125" bestFit="1" customWidth="1"/>
    <col min="3" max="3" width="7.54296875" bestFit="1" customWidth="1"/>
  </cols>
  <sheetData>
    <row r="1" spans="1:12" x14ac:dyDescent="0.35">
      <c r="A1" s="1" t="s">
        <v>27</v>
      </c>
    </row>
    <row r="2" spans="1:12" x14ac:dyDescent="0.35">
      <c r="A2" t="s">
        <v>28</v>
      </c>
      <c r="B2" t="s">
        <v>15</v>
      </c>
      <c r="C2" t="s">
        <v>16</v>
      </c>
    </row>
    <row r="3" spans="1:12" x14ac:dyDescent="0.35">
      <c r="A3" s="3">
        <v>-22.356560249272832</v>
      </c>
      <c r="B3" s="3">
        <v>-15.218835283458361</v>
      </c>
      <c r="C3" s="3">
        <v>-6.1792122793033286</v>
      </c>
      <c r="D3" t="s">
        <v>21</v>
      </c>
      <c r="E3" s="1" t="s">
        <v>20</v>
      </c>
      <c r="J3" t="s">
        <v>29</v>
      </c>
      <c r="K3" s="3">
        <f>ABS(C3-B3)/2</f>
        <v>4.5198115020775163</v>
      </c>
    </row>
    <row r="4" spans="1:12" x14ac:dyDescent="0.35">
      <c r="A4" s="3">
        <v>-22.394607518346902</v>
      </c>
      <c r="B4" s="3">
        <v>-15.252574323329213</v>
      </c>
      <c r="C4" s="3">
        <v>-6.2159472277510304</v>
      </c>
      <c r="D4" t="s">
        <v>21</v>
      </c>
      <c r="E4" s="1" t="s">
        <v>24</v>
      </c>
      <c r="J4" t="s">
        <v>29</v>
      </c>
      <c r="K4" s="3">
        <f>ABS(C4-B4)/2</f>
        <v>4.5183135477890914</v>
      </c>
    </row>
    <row r="5" spans="1:12" x14ac:dyDescent="0.35">
      <c r="A5" s="8" t="s">
        <v>77</v>
      </c>
      <c r="B5" s="3"/>
      <c r="C5" s="3"/>
      <c r="E5" s="1"/>
      <c r="K5" s="3"/>
    </row>
    <row r="6" spans="1:12" x14ac:dyDescent="0.35">
      <c r="A6" s="3">
        <v>-22.998941630110494</v>
      </c>
      <c r="B6" s="3">
        <v>-15.900071859208651</v>
      </c>
      <c r="C6" s="10">
        <v>-9.7870348646031289</v>
      </c>
      <c r="E6" s="1" t="s">
        <v>20</v>
      </c>
      <c r="J6" t="s">
        <v>29</v>
      </c>
      <c r="K6" s="10">
        <f>ABS(C6-B6)/2</f>
        <v>3.0565184973027613</v>
      </c>
    </row>
    <row r="7" spans="1:12" x14ac:dyDescent="0.35">
      <c r="A7" s="3">
        <v>-23.032701415868246</v>
      </c>
      <c r="B7" s="3">
        <v>-15.934462665696515</v>
      </c>
      <c r="C7" s="10">
        <v>-9.8218310946269867</v>
      </c>
      <c r="E7" s="1" t="s">
        <v>24</v>
      </c>
      <c r="J7" t="s">
        <v>29</v>
      </c>
      <c r="K7" s="10">
        <f>ABS(C7-B7)/2</f>
        <v>3.056315785534764</v>
      </c>
    </row>
    <row r="10" spans="1:12" x14ac:dyDescent="0.35">
      <c r="A10" s="1" t="s">
        <v>65</v>
      </c>
      <c r="D10" s="9">
        <v>1.1399999999999999</v>
      </c>
      <c r="E10" t="s">
        <v>78</v>
      </c>
    </row>
    <row r="11" spans="1:12" x14ac:dyDescent="0.35">
      <c r="A11" s="7" t="s">
        <v>0</v>
      </c>
      <c r="B11" s="7" t="s">
        <v>47</v>
      </c>
      <c r="C11" s="7" t="s">
        <v>21</v>
      </c>
      <c r="D11" s="7" t="s">
        <v>69</v>
      </c>
      <c r="E11" s="7" t="s">
        <v>50</v>
      </c>
    </row>
    <row r="12" spans="1:12" x14ac:dyDescent="0.35">
      <c r="A12" t="s">
        <v>10</v>
      </c>
      <c r="B12">
        <f>Q24*vbias</f>
        <v>-301.19939999999997</v>
      </c>
      <c r="C12" s="3">
        <f>B12/83.5935</f>
        <v>-3.6031437851029082</v>
      </c>
      <c r="D12" s="3">
        <f>B12/2*(vbias-1)/vbias</f>
        <v>-18.494699999999984</v>
      </c>
      <c r="E12" t="s">
        <v>66</v>
      </c>
    </row>
    <row r="13" spans="1:12" x14ac:dyDescent="0.35">
      <c r="A13" t="s">
        <v>11</v>
      </c>
      <c r="B13">
        <f>Q25</f>
        <v>0</v>
      </c>
      <c r="C13" s="3">
        <f t="shared" ref="C13:C17" si="0">B13/83.5935</f>
        <v>0</v>
      </c>
      <c r="D13" s="3">
        <f>B13/2*(vbias-1)/vbias</f>
        <v>0</v>
      </c>
      <c r="E13" t="s">
        <v>48</v>
      </c>
    </row>
    <row r="14" spans="1:12" x14ac:dyDescent="0.35">
      <c r="A14" t="s">
        <v>12</v>
      </c>
      <c r="B14">
        <v>-1119</v>
      </c>
      <c r="C14" s="3">
        <f>B14/83.5935</f>
        <v>-13.386208257819089</v>
      </c>
      <c r="D14" s="3">
        <v>20</v>
      </c>
      <c r="E14" t="s">
        <v>70</v>
      </c>
      <c r="G14" s="3"/>
      <c r="J14">
        <f>Q26-B14</f>
        <v>140.79999999999995</v>
      </c>
      <c r="K14" s="3">
        <f>J14/83.5935</f>
        <v>1.6843414858810786</v>
      </c>
      <c r="L14" t="s">
        <v>52</v>
      </c>
    </row>
    <row r="15" spans="1:12" x14ac:dyDescent="0.35">
      <c r="A15" t="s">
        <v>13</v>
      </c>
      <c r="B15">
        <f>Q27*vbias</f>
        <v>-2.4053999999999998</v>
      </c>
      <c r="C15" s="3">
        <f t="shared" si="0"/>
        <v>-2.8774964560641672E-2</v>
      </c>
      <c r="D15" s="3">
        <f>B15/2*(vbias-1)/vbias</f>
        <v>-0.14769999999999989</v>
      </c>
      <c r="E15" t="s">
        <v>49</v>
      </c>
      <c r="K15" s="3"/>
    </row>
    <row r="16" spans="1:12" x14ac:dyDescent="0.35">
      <c r="A16" t="s">
        <v>22</v>
      </c>
      <c r="B16">
        <f>Q28*vbias</f>
        <v>-8.2763999999999989</v>
      </c>
      <c r="C16" s="3">
        <f t="shared" si="0"/>
        <v>-9.9007697966947167E-2</v>
      </c>
      <c r="D16" s="3">
        <f>B16/2*(vbias-1)/vbias</f>
        <v>-0.50819999999999965</v>
      </c>
      <c r="E16" t="s">
        <v>49</v>
      </c>
    </row>
    <row r="17" spans="1:18" x14ac:dyDescent="0.35">
      <c r="A17" t="s">
        <v>23</v>
      </c>
      <c r="B17">
        <f>Q29</f>
        <v>0</v>
      </c>
      <c r="C17" s="3">
        <f t="shared" si="0"/>
        <v>0</v>
      </c>
      <c r="D17" s="3">
        <f>B17/2*(vbias-1)/vbias</f>
        <v>0</v>
      </c>
      <c r="E17" t="s">
        <v>48</v>
      </c>
    </row>
    <row r="22" spans="1:18" x14ac:dyDescent="0.35">
      <c r="A22" s="1" t="s">
        <v>51</v>
      </c>
      <c r="F22" s="1" t="s">
        <v>60</v>
      </c>
      <c r="K22" s="1" t="s">
        <v>53</v>
      </c>
      <c r="P22" s="1" t="s">
        <v>58</v>
      </c>
    </row>
    <row r="23" spans="1:18" x14ac:dyDescent="0.35">
      <c r="A23" s="7" t="s">
        <v>0</v>
      </c>
      <c r="B23" s="7" t="s">
        <v>47</v>
      </c>
      <c r="C23" s="7" t="s">
        <v>21</v>
      </c>
      <c r="D23" s="7"/>
      <c r="F23" s="7" t="s">
        <v>0</v>
      </c>
      <c r="G23" s="7" t="s">
        <v>47</v>
      </c>
      <c r="H23" s="7" t="s">
        <v>21</v>
      </c>
      <c r="K23" s="7" t="s">
        <v>0</v>
      </c>
      <c r="L23" s="7" t="s">
        <v>47</v>
      </c>
      <c r="M23" s="7" t="s">
        <v>21</v>
      </c>
      <c r="P23" s="7" t="s">
        <v>0</v>
      </c>
      <c r="Q23" s="7" t="s">
        <v>47</v>
      </c>
      <c r="R23" s="7" t="s">
        <v>21</v>
      </c>
    </row>
    <row r="24" spans="1:18" x14ac:dyDescent="0.35">
      <c r="A24" t="s">
        <v>10</v>
      </c>
      <c r="B24">
        <v>-241.97</v>
      </c>
      <c r="C24" s="3">
        <f>B24/83.5935</f>
        <v>-2.8946030492801471</v>
      </c>
      <c r="F24" t="s">
        <v>10</v>
      </c>
      <c r="G24">
        <v>-263.93</v>
      </c>
      <c r="H24" s="3">
        <f>G24/83.5935</f>
        <v>-3.1573029003451225</v>
      </c>
      <c r="K24" t="s">
        <v>10</v>
      </c>
      <c r="L24">
        <v>-264.13</v>
      </c>
      <c r="M24" s="3">
        <f>L24/83.5935</f>
        <v>-3.1596954308648395</v>
      </c>
      <c r="P24" t="s">
        <v>10</v>
      </c>
      <c r="Q24">
        <v>-264.20999999999998</v>
      </c>
      <c r="R24" s="3">
        <f>Q24/83.5935</f>
        <v>-3.1606524430727263</v>
      </c>
    </row>
    <row r="25" spans="1:18" x14ac:dyDescent="0.35">
      <c r="A25" t="s">
        <v>11</v>
      </c>
      <c r="B25">
        <v>0</v>
      </c>
      <c r="C25" s="3">
        <f t="shared" ref="C25:C29" si="1">B25/83.5935</f>
        <v>0</v>
      </c>
      <c r="F25" t="s">
        <v>11</v>
      </c>
      <c r="G25">
        <v>0</v>
      </c>
      <c r="H25" s="3">
        <f t="shared" ref="H25:H29" si="2">G25/83.5935</f>
        <v>0</v>
      </c>
      <c r="K25" t="s">
        <v>11</v>
      </c>
      <c r="L25">
        <v>0</v>
      </c>
      <c r="M25" s="3">
        <f t="shared" ref="M25:M29" si="3">L25/83.5935</f>
        <v>0</v>
      </c>
      <c r="P25" t="s">
        <v>11</v>
      </c>
      <c r="Q25">
        <v>0</v>
      </c>
      <c r="R25" s="3">
        <f t="shared" ref="R25:R29" si="4">Q25/83.5935</f>
        <v>0</v>
      </c>
    </row>
    <row r="26" spans="1:18" x14ac:dyDescent="0.35">
      <c r="A26" t="s">
        <v>12</v>
      </c>
      <c r="B26">
        <v>-929.49</v>
      </c>
      <c r="C26" s="3">
        <f t="shared" si="1"/>
        <v>-11.119165963860826</v>
      </c>
      <c r="F26" t="s">
        <v>12</v>
      </c>
      <c r="G26">
        <v>-971.65</v>
      </c>
      <c r="H26" s="3">
        <f t="shared" si="2"/>
        <v>-11.623511397417262</v>
      </c>
      <c r="I26" t="s">
        <v>61</v>
      </c>
      <c r="K26" t="s">
        <v>12</v>
      </c>
      <c r="L26">
        <v>-976.67</v>
      </c>
      <c r="M26" s="3">
        <f t="shared" si="3"/>
        <v>-11.683563913462169</v>
      </c>
      <c r="P26" t="s">
        <v>12</v>
      </c>
      <c r="Q26">
        <v>-978.2</v>
      </c>
      <c r="R26" s="3">
        <f t="shared" si="4"/>
        <v>-11.701866771938009</v>
      </c>
    </row>
    <row r="27" spans="1:18" x14ac:dyDescent="0.35">
      <c r="A27" t="s">
        <v>13</v>
      </c>
      <c r="B27">
        <v>-1.95</v>
      </c>
      <c r="C27" s="3">
        <f t="shared" si="1"/>
        <v>-2.332717256724506E-2</v>
      </c>
      <c r="F27" t="s">
        <v>13</v>
      </c>
      <c r="G27">
        <v>-2.08</v>
      </c>
      <c r="H27" s="3">
        <f t="shared" si="2"/>
        <v>-2.4882317405061399E-2</v>
      </c>
      <c r="K27" t="s">
        <v>13</v>
      </c>
      <c r="L27">
        <v>-2.1</v>
      </c>
      <c r="M27" s="3">
        <f t="shared" si="3"/>
        <v>-2.5121570457033143E-2</v>
      </c>
      <c r="P27" t="s">
        <v>13</v>
      </c>
      <c r="Q27">
        <v>-2.11</v>
      </c>
      <c r="R27" s="3">
        <f t="shared" si="4"/>
        <v>-2.524119698301901E-2</v>
      </c>
    </row>
    <row r="28" spans="1:18" x14ac:dyDescent="0.35">
      <c r="A28" t="s">
        <v>22</v>
      </c>
      <c r="B28">
        <v>-7.13</v>
      </c>
      <c r="C28" s="3">
        <f t="shared" si="1"/>
        <v>-8.5293713027926807E-2</v>
      </c>
      <c r="F28" t="s">
        <v>22</v>
      </c>
      <c r="G28">
        <v>-7.25</v>
      </c>
      <c r="H28" s="3">
        <f t="shared" si="2"/>
        <v>-8.6729231339757268E-2</v>
      </c>
      <c r="K28" t="s">
        <v>22</v>
      </c>
      <c r="L28">
        <v>-7.26</v>
      </c>
      <c r="M28" s="3">
        <f t="shared" si="3"/>
        <v>-8.6848857865743145E-2</v>
      </c>
      <c r="P28" t="s">
        <v>22</v>
      </c>
      <c r="Q28">
        <v>-7.26</v>
      </c>
      <c r="R28" s="3">
        <f t="shared" si="4"/>
        <v>-8.6848857865743145E-2</v>
      </c>
    </row>
    <row r="29" spans="1:18" x14ac:dyDescent="0.35">
      <c r="A29" t="s">
        <v>23</v>
      </c>
      <c r="B29">
        <v>0</v>
      </c>
      <c r="C29" s="3">
        <f t="shared" si="1"/>
        <v>0</v>
      </c>
      <c r="F29" t="s">
        <v>23</v>
      </c>
      <c r="G29">
        <v>0</v>
      </c>
      <c r="H29" s="3">
        <f t="shared" si="2"/>
        <v>0</v>
      </c>
      <c r="K29" t="s">
        <v>23</v>
      </c>
      <c r="L29">
        <v>0</v>
      </c>
      <c r="M29" s="3">
        <f t="shared" si="3"/>
        <v>0</v>
      </c>
      <c r="P29" t="s">
        <v>23</v>
      </c>
      <c r="Q29">
        <v>0</v>
      </c>
      <c r="R29" s="3">
        <f t="shared" si="4"/>
        <v>0</v>
      </c>
    </row>
    <row r="31" spans="1:18" x14ac:dyDescent="0.35">
      <c r="G31">
        <f>L24-B24</f>
        <v>-22.159999999999997</v>
      </c>
    </row>
    <row r="32" spans="1:18" x14ac:dyDescent="0.35">
      <c r="A32" t="s">
        <v>54</v>
      </c>
      <c r="B32" t="s">
        <v>55</v>
      </c>
      <c r="C32" t="s">
        <v>56</v>
      </c>
      <c r="D32" t="s">
        <v>57</v>
      </c>
      <c r="E32" t="s">
        <v>67</v>
      </c>
      <c r="F32" t="s">
        <v>68</v>
      </c>
      <c r="G32" t="s">
        <v>59</v>
      </c>
    </row>
    <row r="33" spans="1:14" x14ac:dyDescent="0.35">
      <c r="A33">
        <f>B26+2*B27-B24-B25</f>
        <v>-691.42</v>
      </c>
      <c r="B33">
        <f>G26+2*G27-G24-G25</f>
        <v>-711.87999999999988</v>
      </c>
      <c r="C33">
        <f>L26+2*L27-L24-L25</f>
        <v>-716.74</v>
      </c>
      <c r="D33">
        <f>Q26+2*Q27-Q24-Q25</f>
        <v>-718.21</v>
      </c>
      <c r="E33" s="3">
        <f>B14+2*B15-B12-B13</f>
        <v>-822.6114</v>
      </c>
      <c r="F33" s="3">
        <f>SQRT(D14^2+4*D15^2+D12^2+D13^2)</f>
        <v>27.242268430694232</v>
      </c>
      <c r="G33" s="1" t="s">
        <v>62</v>
      </c>
      <c r="L33" s="10">
        <f>E33/83.5935</f>
        <v>-9.8406144018374633</v>
      </c>
      <c r="M33" s="10">
        <f>F33/83.5935</f>
        <v>0.32588979323385464</v>
      </c>
      <c r="N33" t="s">
        <v>21</v>
      </c>
    </row>
    <row r="34" spans="1:14" x14ac:dyDescent="0.35">
      <c r="A34">
        <f>B26+B28+B29+-B24-B25</f>
        <v>-694.65</v>
      </c>
      <c r="B34">
        <f>G26+G28+G29+-G24-G25</f>
        <v>-714.97</v>
      </c>
      <c r="C34">
        <f>L26+L28+L29+-L24-L25</f>
        <v>-719.8</v>
      </c>
      <c r="D34">
        <f>Q26+Q28+Q29+-Q24-Q25</f>
        <v>-721.25</v>
      </c>
      <c r="E34" s="3">
        <f>B14+B16+B17-B12-B13</f>
        <v>-826.077</v>
      </c>
      <c r="F34" s="3">
        <f>SQRT(D14^2+D16^2+D17^2+D12^2+D13^2)</f>
        <v>27.245406866662854</v>
      </c>
      <c r="G34" s="1" t="s">
        <v>63</v>
      </c>
      <c r="L34" s="10">
        <f>E34/83.5935</f>
        <v>-9.8820721706831272</v>
      </c>
      <c r="M34" s="10">
        <f>F34/83.5935</f>
        <v>0.32592733725305023</v>
      </c>
      <c r="N3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Molpro</vt:lpstr>
      <vt:lpstr>F12b</vt:lpstr>
      <vt:lpstr>reactions basisset</vt:lpstr>
      <vt:lpstr>extrapolated</vt:lpstr>
      <vt:lpstr>ZPE</vt:lpstr>
      <vt:lpstr>SOC</vt:lpstr>
      <vt:lpstr>vbias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Irikura, Karl K. Dr. (Fed)</dc:creator>
  <cp:lastModifiedBy>Irikura, Karl K. Dr. (Fed)</cp:lastModifiedBy>
  <dcterms:created xsi:type="dcterms:W3CDTF">2015-06-05T18:17:20Z</dcterms:created>
  <dcterms:modified xsi:type="dcterms:W3CDTF">2025-05-29T21:39:06Z</dcterms:modified>
</cp:coreProperties>
</file>