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93703F93-D9B4-4BF7-AC39-B46E62A6F21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котельная" sheetId="26" r:id="rId1"/>
    <sheet name="склад угля_золы" sheetId="27" r:id="rId2"/>
    <sheet name="склад золы" sheetId="28" r:id="rId3"/>
    <sheet name="ДГУ" sheetId="39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7" l="1"/>
  <c r="C26" i="39"/>
  <c r="C31" i="39" s="1"/>
  <c r="D5" i="39"/>
  <c r="F5" i="39" s="1"/>
  <c r="G5" i="39" s="1"/>
  <c r="L5" i="39" s="1"/>
  <c r="E16" i="39"/>
  <c r="E15" i="39"/>
  <c r="E14" i="39"/>
  <c r="E13" i="39"/>
  <c r="E12" i="39"/>
  <c r="E11" i="39"/>
  <c r="E10" i="39"/>
  <c r="E9" i="39"/>
  <c r="H5" i="39"/>
  <c r="C30" i="39" l="1"/>
  <c r="E5" i="39"/>
  <c r="B22" i="39" s="1"/>
  <c r="F14" i="39" l="1"/>
  <c r="F13" i="39"/>
  <c r="F16" i="39"/>
  <c r="F9" i="39"/>
  <c r="F12" i="39"/>
  <c r="F11" i="39"/>
  <c r="F10" i="39"/>
  <c r="F15" i="39"/>
  <c r="F22" i="39" l="1"/>
  <c r="E22" i="39"/>
  <c r="C27" i="39" l="1"/>
  <c r="D30" i="39" s="1"/>
  <c r="D31" i="39" l="1"/>
  <c r="F2" i="26"/>
  <c r="C3" i="28"/>
  <c r="F3" i="28" s="1"/>
  <c r="F3" i="27"/>
  <c r="D13" i="26"/>
  <c r="M18" i="27" l="1"/>
  <c r="L37" i="27" s="1"/>
  <c r="K37" i="27"/>
  <c r="J37" i="27"/>
  <c r="I37" i="27"/>
  <c r="H37" i="27"/>
  <c r="G37" i="27"/>
  <c r="F37" i="27"/>
  <c r="E37" i="27"/>
  <c r="D37" i="27"/>
  <c r="C37" i="27"/>
  <c r="B37" i="27"/>
  <c r="K36" i="27"/>
  <c r="J36" i="27"/>
  <c r="I36" i="27"/>
  <c r="H36" i="27"/>
  <c r="G36" i="27"/>
  <c r="F36" i="27"/>
  <c r="E36" i="27"/>
  <c r="D36" i="27"/>
  <c r="C36" i="27"/>
  <c r="B36" i="27"/>
  <c r="G25" i="27"/>
  <c r="F25" i="27"/>
  <c r="E25" i="27"/>
  <c r="D25" i="27"/>
  <c r="C25" i="27"/>
  <c r="B25" i="27"/>
  <c r="G24" i="27"/>
  <c r="F24" i="27"/>
  <c r="E24" i="27"/>
  <c r="D24" i="27"/>
  <c r="C24" i="27"/>
  <c r="B24" i="27"/>
  <c r="M17" i="27"/>
  <c r="I24" i="27" s="1"/>
  <c r="I37" i="28"/>
  <c r="I36" i="28"/>
  <c r="H37" i="28"/>
  <c r="H36" i="28"/>
  <c r="K37" i="28"/>
  <c r="J37" i="28"/>
  <c r="G37" i="28"/>
  <c r="F37" i="28"/>
  <c r="E37" i="28"/>
  <c r="D37" i="28"/>
  <c r="C37" i="28"/>
  <c r="B37" i="28"/>
  <c r="K36" i="28"/>
  <c r="J36" i="28"/>
  <c r="G36" i="28"/>
  <c r="F36" i="28"/>
  <c r="E36" i="28"/>
  <c r="D36" i="28"/>
  <c r="C36" i="28"/>
  <c r="B36" i="28"/>
  <c r="G25" i="28"/>
  <c r="F25" i="28"/>
  <c r="E25" i="28"/>
  <c r="D25" i="28"/>
  <c r="C25" i="28"/>
  <c r="B25" i="28"/>
  <c r="G24" i="28"/>
  <c r="F24" i="28"/>
  <c r="E24" i="28"/>
  <c r="D24" i="28"/>
  <c r="C24" i="28"/>
  <c r="B24" i="28"/>
  <c r="M18" i="28"/>
  <c r="L37" i="28" s="1"/>
  <c r="M17" i="28"/>
  <c r="I24" i="28" s="1"/>
  <c r="M37" i="28" l="1"/>
  <c r="I25" i="27"/>
  <c r="J25" i="27" s="1"/>
  <c r="I25" i="28"/>
  <c r="L36" i="27"/>
  <c r="M36" i="27" s="1"/>
  <c r="M37" i="27"/>
  <c r="J24" i="27"/>
  <c r="B41" i="27" s="1"/>
  <c r="J24" i="28"/>
  <c r="J25" i="28"/>
  <c r="L36" i="28"/>
  <c r="M36" i="28" s="1"/>
  <c r="C41" i="28" l="1"/>
  <c r="C41" i="27"/>
  <c r="B41" i="28"/>
  <c r="C18" i="26"/>
  <c r="B34" i="26"/>
  <c r="B28" i="26"/>
  <c r="B18" i="26"/>
  <c r="D18" i="26" s="1"/>
  <c r="B47" i="26" s="1"/>
  <c r="C13" i="26"/>
  <c r="B13" i="26"/>
  <c r="B35" i="26"/>
  <c r="D35" i="26" s="1"/>
  <c r="B29" i="26"/>
  <c r="D25" i="26"/>
  <c r="C29" i="26" s="1"/>
  <c r="C19" i="26"/>
  <c r="B19" i="26"/>
  <c r="D19" i="26" s="1"/>
  <c r="C47" i="26" s="1"/>
  <c r="D14" i="26"/>
  <c r="C14" i="26"/>
  <c r="B14" i="26"/>
  <c r="E14" i="26" s="1"/>
  <c r="E7" i="26"/>
  <c r="C34" i="26" s="1"/>
  <c r="E13" i="26" l="1"/>
  <c r="B46" i="26" s="1"/>
  <c r="D34" i="26"/>
  <c r="A38" i="26" s="1"/>
  <c r="B49" i="26" s="1"/>
  <c r="C46" i="26"/>
  <c r="C28" i="26"/>
  <c r="D28" i="26" s="1"/>
  <c r="B48" i="26" s="1"/>
  <c r="D29" i="26"/>
  <c r="C48" i="26" s="1"/>
  <c r="A43" i="26"/>
  <c r="C50" i="26" s="1"/>
  <c r="A39" i="26"/>
  <c r="C49" i="26" s="1"/>
  <c r="A42" i="26" l="1"/>
  <c r="B50" i="26" s="1"/>
</calcChain>
</file>

<file path=xl/sharedStrings.xml><?xml version="1.0" encoding="utf-8"?>
<sst xmlns="http://schemas.openxmlformats.org/spreadsheetml/2006/main" count="268" uniqueCount="149">
  <si>
    <t>где:</t>
  </si>
  <si>
    <t>или</t>
  </si>
  <si>
    <t>R</t>
  </si>
  <si>
    <t>С</t>
  </si>
  <si>
    <r>
      <t>1. Котельная на угле,</t>
    </r>
    <r>
      <rPr>
        <i/>
        <sz val="11"/>
        <color theme="1"/>
        <rFont val="Calibri"/>
        <family val="2"/>
        <charset val="204"/>
        <scheme val="minor"/>
      </rPr>
      <t xml:space="preserve"> ист №0001</t>
    </r>
  </si>
  <si>
    <t>Расход угля составит</t>
  </si>
  <si>
    <t>тонн</t>
  </si>
  <si>
    <t xml:space="preserve">или </t>
  </si>
  <si>
    <t>Состав и основные характеристики дизтоплива:</t>
  </si>
  <si>
    <t xml:space="preserve">Аr - содержание негорючих примесей, % </t>
  </si>
  <si>
    <t>Sr - содержание серы, %</t>
  </si>
  <si>
    <t>Q - теплота сгорания топлива, МДж/кг</t>
  </si>
  <si>
    <t>р - плотность кг/л</t>
  </si>
  <si>
    <t>h - эффективность золоуловителей, %</t>
  </si>
  <si>
    <t>пыль неорганическая 20-70</t>
  </si>
  <si>
    <t>Птв = В*Аr*х*(1-h)</t>
  </si>
  <si>
    <t>где:  х=</t>
  </si>
  <si>
    <t>В (расход)</t>
  </si>
  <si>
    <t>Аr</t>
  </si>
  <si>
    <t>х</t>
  </si>
  <si>
    <t>М</t>
  </si>
  <si>
    <t>П (т/пер)</t>
  </si>
  <si>
    <t>т/пер</t>
  </si>
  <si>
    <t>Серы диоксид</t>
  </si>
  <si>
    <t>Пso = 0,02*В*Sr*(1-h)</t>
  </si>
  <si>
    <t>Sr</t>
  </si>
  <si>
    <t>Углерода оксид</t>
  </si>
  <si>
    <t>Псо = 0,001*C*B*(1-q4/100) * (1-h)</t>
  </si>
  <si>
    <t>С = q3*R*Q</t>
  </si>
  <si>
    <t>q3</t>
  </si>
  <si>
    <t>Q</t>
  </si>
  <si>
    <t>q4 =</t>
  </si>
  <si>
    <t>Оксиды азота</t>
  </si>
  <si>
    <t>Пnoх  = 0,001*B*Q*Kn*(1-h)</t>
  </si>
  <si>
    <t xml:space="preserve">где Kn = </t>
  </si>
  <si>
    <t>Азот диоксид:</t>
  </si>
  <si>
    <t>Азот оксид:</t>
  </si>
  <si>
    <t>т/год</t>
  </si>
  <si>
    <t>склада угля, ист.загр. №6002</t>
  </si>
  <si>
    <t xml:space="preserve">Разгрузка, погрузка и хранение угля – выбросы пыли угля определены согласно «Методике расчетов выбросов загрязняющих веществ в атмосферу от предприятий по производству строительных материалов». Приказ Министра ООС РК от 18.04.2008 г. №100-п.   </t>
  </si>
  <si>
    <t>а валовой выброс по формуле:</t>
  </si>
  <si>
    <t>Хранение</t>
  </si>
  <si>
    <t>к3</t>
  </si>
  <si>
    <t>к4</t>
  </si>
  <si>
    <t>к5</t>
  </si>
  <si>
    <t>к6</t>
  </si>
  <si>
    <t>к7</t>
  </si>
  <si>
    <t>Выброс</t>
  </si>
  <si>
    <t>Ед. изм</t>
  </si>
  <si>
    <r>
      <t>Пыль неорганическая с содержанием SiO</t>
    </r>
    <r>
      <rPr>
        <vertAlign val="sub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20-70 % (2908)</t>
    </r>
  </si>
  <si>
    <t>к1</t>
  </si>
  <si>
    <t>к2</t>
  </si>
  <si>
    <t>к8</t>
  </si>
  <si>
    <t>к9</t>
  </si>
  <si>
    <t>В'</t>
  </si>
  <si>
    <t>Gчас/Gгод</t>
  </si>
  <si>
    <t>М*</t>
  </si>
  <si>
    <t>склада золы, ист.загр. №6003</t>
  </si>
  <si>
    <t>П (г/сек)</t>
  </si>
  <si>
    <t>П( (г/сек)</t>
  </si>
  <si>
    <t>г/сек</t>
  </si>
  <si>
    <t>наименование ЗВ</t>
  </si>
  <si>
    <t xml:space="preserve">Азота (IV) диоксид </t>
  </si>
  <si>
    <t xml:space="preserve">Азот (II) оксид </t>
  </si>
  <si>
    <t>пыль неограническая</t>
  </si>
  <si>
    <t>диоксид серы</t>
  </si>
  <si>
    <t>оксид углерода</t>
  </si>
  <si>
    <t>k1 – весовая доля пылевой фракции в материале</t>
  </si>
  <si>
    <t>k2 – доля пыли с размерами частиц 0-50 мкм (от всей массы пыли), переходящая в аэрозоль</t>
  </si>
  <si>
    <r>
      <t xml:space="preserve">k3 – коэффициент, учитывающий местные метеоусловия </t>
    </r>
    <r>
      <rPr>
        <i/>
        <sz val="11"/>
        <color theme="1"/>
        <rFont val="Times New Roman"/>
        <family val="1"/>
        <charset val="204"/>
      </rPr>
      <t xml:space="preserve"> </t>
    </r>
  </si>
  <si>
    <t>k4 – коэффициент, учитывающий местные условия, степень защищенности узла от внешних воздействий, условия пылеобразования</t>
  </si>
  <si>
    <t>k5 – коэффициент, учитывающий влажность материала</t>
  </si>
  <si>
    <t>k7 – коэффициент, учитывающий крупность материала</t>
  </si>
  <si>
    <t>Gчас – производительность узла пересыпки или количество перерабатываемого материала</t>
  </si>
  <si>
    <t>Gгод – суммарное количество перерабатываемого материала в течение года, т/пер.стр.</t>
  </si>
  <si>
    <t>-</t>
  </si>
  <si>
    <t>тонн/пер</t>
  </si>
  <si>
    <t>тонн/час</t>
  </si>
  <si>
    <t>уголь</t>
  </si>
  <si>
    <t>F</t>
  </si>
  <si>
    <t>F - поверхность пыления в плане</t>
  </si>
  <si>
    <t>Q - унос пыли с 1 м2 фактической поверхности материала</t>
  </si>
  <si>
    <t>k6 - коэффициент, учитывающий профиль поверхности складируемого материала</t>
  </si>
  <si>
    <t>G</t>
  </si>
  <si>
    <t>В' - коэффициент, учитывающий высоту пересыпки, высота пересыпки материала - 1-1,5 м.</t>
  </si>
  <si>
    <t>зола</t>
  </si>
  <si>
    <t>Максимальный разовый объем пылевыделений при разгрузке и погрузке рассчитывается по формуле:</t>
  </si>
  <si>
    <r>
      <t xml:space="preserve"> , </t>
    </r>
    <r>
      <rPr>
        <i/>
        <sz val="14"/>
        <color indexed="8"/>
        <rFont val="Times New Roman"/>
        <family val="1"/>
        <charset val="204"/>
      </rPr>
      <t>г/с</t>
    </r>
    <r>
      <rPr>
        <sz val="14"/>
        <color indexed="8"/>
        <rFont val="Times New Roman"/>
        <family val="1"/>
        <charset val="204"/>
      </rPr>
      <t>,</t>
    </r>
  </si>
  <si>
    <t>(3.1.1)</t>
  </si>
  <si>
    <r>
      <t xml:space="preserve"> , </t>
    </r>
    <r>
      <rPr>
        <i/>
        <sz val="14"/>
        <color indexed="8"/>
        <rFont val="Times New Roman"/>
        <family val="1"/>
        <charset val="204"/>
      </rPr>
      <t>т/год</t>
    </r>
    <r>
      <rPr>
        <sz val="14"/>
        <color indexed="8"/>
        <rFont val="Times New Roman"/>
        <family val="1"/>
        <charset val="204"/>
      </rPr>
      <t>,</t>
    </r>
  </si>
  <si>
    <t>(3.1.2)</t>
  </si>
  <si>
    <t>k8 – поправочный коэффициент для различных материалов при использовании иных типов перегрузочных устройств;</t>
  </si>
  <si>
    <t>k9 – поправочный коэффициент при мощном залповом сбросе материала при разгрузке</t>
  </si>
  <si>
    <t>Погрузка золы в автосамосвалы</t>
  </si>
  <si>
    <t>Разгрузка угля с автосамосвалов</t>
  </si>
  <si>
    <t>тонн/год</t>
  </si>
  <si>
    <t>группа дизельной установки</t>
  </si>
  <si>
    <t>Р, кВт</t>
  </si>
  <si>
    <t>время работы</t>
  </si>
  <si>
    <t>Расход топлива</t>
  </si>
  <si>
    <t xml:space="preserve">Gor, кг/с </t>
  </si>
  <si>
    <t xml:space="preserve"> Yor, кг/м3 </t>
  </si>
  <si>
    <t>Параметры источников выбросов</t>
  </si>
  <si>
    <t>кг/час</t>
  </si>
  <si>
    <t xml:space="preserve">bэ, г/кВт*ч </t>
  </si>
  <si>
    <t>T, C°</t>
  </si>
  <si>
    <t xml:space="preserve">H,м </t>
  </si>
  <si>
    <t xml:space="preserve">D, м </t>
  </si>
  <si>
    <t>Qor, м3/сек</t>
  </si>
  <si>
    <t>Б</t>
  </si>
  <si>
    <t>Расчет выбросов в атмосферу от СДУ по Методике расчета выбросов ЗВ в атмосферу от стационарных дизельных установок РНД 211.2.02.04-2005 Астана</t>
  </si>
  <si>
    <t>конижающий коэффициент</t>
  </si>
  <si>
    <r>
      <t>e</t>
    </r>
    <r>
      <rPr>
        <b/>
        <vertAlign val="subscript"/>
        <sz val="10"/>
        <rFont val="Arial Cyr"/>
        <charset val="204"/>
      </rPr>
      <t>мi</t>
    </r>
    <r>
      <rPr>
        <b/>
        <sz val="10"/>
        <rFont val="Arial Cyr"/>
        <charset val="204"/>
      </rPr>
      <t>, г/кВт*ч</t>
    </r>
  </si>
  <si>
    <r>
      <t>q</t>
    </r>
    <r>
      <rPr>
        <b/>
        <vertAlign val="subscript"/>
        <sz val="10"/>
        <rFont val="Arial Cyr"/>
        <charset val="204"/>
      </rPr>
      <t>мi</t>
    </r>
    <r>
      <rPr>
        <b/>
        <sz val="10"/>
        <rFont val="Arial Cyr"/>
        <charset val="204"/>
      </rPr>
      <t>,г/кгтоплива</t>
    </r>
  </si>
  <si>
    <t>М г/сек</t>
  </si>
  <si>
    <t>М т/год</t>
  </si>
  <si>
    <t>Диоксид азота</t>
  </si>
  <si>
    <t>Оксид азота</t>
  </si>
  <si>
    <t>Сажа</t>
  </si>
  <si>
    <t>Сернистый ангидрид</t>
  </si>
  <si>
    <t>Оксид углерода</t>
  </si>
  <si>
    <t>Бенз/а/пирен</t>
  </si>
  <si>
    <t>Формальдегид</t>
  </si>
  <si>
    <t>Алканы С12-19</t>
  </si>
  <si>
    <t>Оборудование</t>
  </si>
  <si>
    <t>Vчmax,</t>
  </si>
  <si>
    <t>Воз</t>
  </si>
  <si>
    <t>Ввл</t>
  </si>
  <si>
    <t>Np</t>
  </si>
  <si>
    <t>С1</t>
  </si>
  <si>
    <t>Крma</t>
  </si>
  <si>
    <t>Уоз,</t>
  </si>
  <si>
    <t>Увл,</t>
  </si>
  <si>
    <t>Gхр</t>
  </si>
  <si>
    <t>Кнл</t>
  </si>
  <si>
    <t>м3/год</t>
  </si>
  <si>
    <t>м3/час</t>
  </si>
  <si>
    <t>т</t>
  </si>
  <si>
    <t>г/м3</t>
  </si>
  <si>
    <t>г/т</t>
  </si>
  <si>
    <t>Расходная емкость ДГУ</t>
  </si>
  <si>
    <t>Расчет произведён согласно «Методических указаний по определению выбросов загрязняющих веществ в атмосферу из резервуаров» (РНД 211.2.02.09–2004), Астана, 2004г. [7].</t>
  </si>
  <si>
    <t>G т/год</t>
  </si>
  <si>
    <t>концентрация ЗВ</t>
  </si>
  <si>
    <t>Сероводород</t>
  </si>
  <si>
    <r>
      <t xml:space="preserve">Выбросы вредных веществ от резервного источника энергоснабжения, </t>
    </r>
    <r>
      <rPr>
        <i/>
        <sz val="12"/>
        <color theme="1"/>
        <rFont val="Times New Roman"/>
        <family val="1"/>
        <charset val="204"/>
      </rPr>
      <t>ист. №0003</t>
    </r>
  </si>
  <si>
    <r>
      <t>Выбросы вредных веществ от участка приема и хранения дизельного топлива</t>
    </r>
    <r>
      <rPr>
        <i/>
        <sz val="12"/>
        <color theme="1"/>
        <rFont val="Times New Roman"/>
        <family val="1"/>
        <charset val="204"/>
      </rPr>
      <t>, ист. №0004</t>
    </r>
  </si>
  <si>
    <t>{ coalConsumption }</t>
  </si>
  <si>
    <t>{ DGUOperatingTime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</si>
</sst>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#,##0.0000"/>
    <numFmt numFmtId="167" formatCode="0.0"/>
    <numFmt numFmtId="168" formatCode="#,##0.00000"/>
    <numFmt numFmtId="169" formatCode="#,##0.0"/>
    <numFmt numFmtId="170" formatCode="#,##0.000"/>
    <numFmt numFmtId="171" formatCode="#,##0.00000000"/>
    <numFmt numFmtId="172" formatCode="#,##0.000000"/>
    <numFmt numFmtId="173" formatCode="#,##0.000000000"/>
    <numFmt numFmtId="174" formatCode="#,##0.00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11"/>
      <name val="Times New Roman"/>
      <family val="1"/>
      <charset val="204"/>
    </font>
    <font>
      <vertAlign val="subscript"/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sz val="11"/>
      <color theme="1"/>
      <name val="Calibri"/>
      <family val="2"/>
      <scheme val="minor"/>
    </font>
    <font>
      <i/>
      <sz val="10"/>
      <name val="Arial Cyr"/>
      <charset val="204"/>
    </font>
    <font>
      <b/>
      <sz val="11"/>
      <color rgb="FFFF0000"/>
      <name val="Calibri"/>
      <family val="2"/>
      <scheme val="minor"/>
    </font>
    <font>
      <sz val="10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13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2" fillId="0" borderId="0" xfId="0" applyFont="1"/>
    <xf numFmtId="0" fontId="4" fillId="3" borderId="0" xfId="0" applyFont="1" applyFill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166" fontId="11" fillId="0" borderId="9" xfId="0" applyNumberFormat="1" applyFont="1" applyBorder="1" applyAlignment="1">
      <alignment horizontal="justify" vertical="center"/>
    </xf>
    <xf numFmtId="166" fontId="5" fillId="0" borderId="9" xfId="0" applyNumberFormat="1" applyFont="1" applyBorder="1" applyAlignment="1">
      <alignment horizontal="justify" vertical="center"/>
    </xf>
    <xf numFmtId="166" fontId="11" fillId="0" borderId="8" xfId="0" applyNumberFormat="1" applyFont="1" applyBorder="1" applyAlignment="1">
      <alignment horizontal="justify" vertical="center"/>
    </xf>
    <xf numFmtId="166" fontId="11" fillId="0" borderId="0" xfId="0" applyNumberFormat="1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2" fontId="13" fillId="0" borderId="1" xfId="0" applyNumberFormat="1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left" vertical="top"/>
    </xf>
    <xf numFmtId="0" fontId="3" fillId="0" borderId="1" xfId="0" applyFont="1" applyBorder="1"/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167" fontId="16" fillId="0" borderId="1" xfId="0" applyNumberFormat="1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/>
    </xf>
    <xf numFmtId="164" fontId="4" fillId="0" borderId="8" xfId="0" applyNumberFormat="1" applyFont="1" applyBorder="1" applyAlignment="1">
      <alignment horizontal="justify" vertical="center"/>
    </xf>
    <xf numFmtId="168" fontId="4" fillId="0" borderId="8" xfId="0" applyNumberFormat="1" applyFont="1" applyBorder="1" applyAlignment="1">
      <alignment horizontal="justify" vertical="center"/>
    </xf>
    <xf numFmtId="169" fontId="4" fillId="0" borderId="9" xfId="0" applyNumberFormat="1" applyFont="1" applyBorder="1" applyAlignment="1">
      <alignment horizontal="justify" vertical="center"/>
    </xf>
    <xf numFmtId="0" fontId="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1" xfId="0" applyBorder="1"/>
    <xf numFmtId="166" fontId="4" fillId="0" borderId="1" xfId="0" applyNumberFormat="1" applyFont="1" applyBorder="1"/>
    <xf numFmtId="0" fontId="4" fillId="0" borderId="0" xfId="0" applyFont="1" applyAlignment="1">
      <alignment horizontal="left" vertical="top" wrapText="1"/>
    </xf>
    <xf numFmtId="167" fontId="4" fillId="2" borderId="1" xfId="0" applyNumberFormat="1" applyFont="1" applyFill="1" applyBorder="1"/>
    <xf numFmtId="2" fontId="4" fillId="2" borderId="1" xfId="0" applyNumberFormat="1" applyFont="1" applyFill="1" applyBorder="1"/>
    <xf numFmtId="2" fontId="4" fillId="0" borderId="0" xfId="0" applyNumberFormat="1" applyFont="1"/>
    <xf numFmtId="0" fontId="4" fillId="2" borderId="1" xfId="0" applyFont="1" applyFill="1" applyBorder="1" applyAlignment="1">
      <alignment horizontal="right" wrapText="1"/>
    </xf>
    <xf numFmtId="167" fontId="13" fillId="0" borderId="1" xfId="0" applyNumberFormat="1" applyFont="1" applyBorder="1" applyAlignment="1">
      <alignment horizontal="left" vertical="top" wrapText="1"/>
    </xf>
    <xf numFmtId="2" fontId="8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0" fontId="14" fillId="0" borderId="0" xfId="0" applyFont="1" applyAlignment="1">
      <alignment horizontal="justify" vertical="center"/>
    </xf>
    <xf numFmtId="0" fontId="22" fillId="0" borderId="0" xfId="0" applyFont="1" applyAlignment="1">
      <alignment vertical="center"/>
    </xf>
    <xf numFmtId="0" fontId="30" fillId="0" borderId="10" xfId="1" applyFont="1" applyBorder="1" applyAlignment="1">
      <alignment horizontal="center" vertical="center" wrapText="1"/>
    </xf>
    <xf numFmtId="0" fontId="30" fillId="0" borderId="11" xfId="1" applyFont="1" applyBorder="1" applyAlignment="1">
      <alignment horizontal="center" vertical="center" wrapText="1"/>
    </xf>
    <xf numFmtId="0" fontId="32" fillId="0" borderId="11" xfId="0" applyFont="1" applyBorder="1"/>
    <xf numFmtId="0" fontId="30" fillId="0" borderId="12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0" borderId="19" xfId="0" applyBorder="1" applyAlignment="1">
      <alignment horizontal="center"/>
    </xf>
    <xf numFmtId="0" fontId="8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13" xfId="0" applyFont="1" applyBorder="1" applyAlignment="1">
      <alignment wrapText="1"/>
    </xf>
    <xf numFmtId="172" fontId="0" fillId="0" borderId="1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7" fillId="0" borderId="18" xfId="0" applyFont="1" applyBorder="1"/>
    <xf numFmtId="173" fontId="0" fillId="0" borderId="19" xfId="0" applyNumberFormat="1" applyBorder="1" applyAlignment="1">
      <alignment horizontal="center"/>
    </xf>
    <xf numFmtId="174" fontId="0" fillId="0" borderId="20" xfId="0" applyNumberFormat="1" applyBorder="1" applyAlignment="1">
      <alignment horizontal="center"/>
    </xf>
    <xf numFmtId="0" fontId="0" fillId="5" borderId="0" xfId="0" applyFill="1"/>
    <xf numFmtId="0" fontId="24" fillId="5" borderId="1" xfId="0" applyFont="1" applyFill="1" applyBorder="1" applyAlignment="1">
      <alignment horizontal="center" wrapText="1"/>
    </xf>
    <xf numFmtId="0" fontId="27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23" fillId="5" borderId="1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8" fillId="5" borderId="13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4" fontId="28" fillId="5" borderId="1" xfId="0" applyNumberFormat="1" applyFont="1" applyFill="1" applyBorder="1" applyAlignment="1">
      <alignment horizontal="center"/>
    </xf>
    <xf numFmtId="169" fontId="21" fillId="5" borderId="1" xfId="0" applyNumberFormat="1" applyFont="1" applyFill="1" applyBorder="1" applyAlignment="1">
      <alignment horizontal="center"/>
    </xf>
    <xf numFmtId="170" fontId="28" fillId="5" borderId="1" xfId="0" applyNumberFormat="1" applyFont="1" applyFill="1" applyBorder="1" applyAlignment="1">
      <alignment horizontal="center"/>
    </xf>
    <xf numFmtId="170" fontId="0" fillId="5" borderId="1" xfId="0" applyNumberFormat="1" applyFill="1" applyBorder="1"/>
    <xf numFmtId="170" fontId="0" fillId="5" borderId="14" xfId="0" applyNumberFormat="1" applyFill="1" applyBorder="1" applyAlignment="1">
      <alignment horizontal="center"/>
    </xf>
    <xf numFmtId="0" fontId="29" fillId="5" borderId="0" xfId="1" applyFill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30" fillId="5" borderId="1" xfId="1" applyFont="1" applyFill="1" applyBorder="1" applyAlignment="1">
      <alignment horizontal="center" vertical="center" wrapText="1"/>
    </xf>
    <xf numFmtId="0" fontId="30" fillId="5" borderId="1" xfId="1" applyFont="1" applyFill="1" applyBorder="1" applyAlignment="1">
      <alignment vertical="center" wrapText="1"/>
    </xf>
    <xf numFmtId="0" fontId="34" fillId="5" borderId="0" xfId="0" applyFont="1" applyFill="1"/>
    <xf numFmtId="0" fontId="29" fillId="5" borderId="1" xfId="1" applyFill="1" applyBorder="1"/>
    <xf numFmtId="0" fontId="29" fillId="5" borderId="1" xfId="1" applyFill="1" applyBorder="1" applyAlignment="1">
      <alignment horizontal="center"/>
    </xf>
    <xf numFmtId="166" fontId="33" fillId="5" borderId="1" xfId="1" applyNumberFormat="1" applyFont="1" applyFill="1" applyBorder="1" applyAlignment="1">
      <alignment horizontal="center" vertical="center" wrapText="1"/>
    </xf>
    <xf numFmtId="166" fontId="29" fillId="5" borderId="1" xfId="1" applyNumberFormat="1" applyFill="1" applyBorder="1" applyAlignment="1">
      <alignment horizontal="center" vertical="center" wrapText="1"/>
    </xf>
    <xf numFmtId="0" fontId="35" fillId="5" borderId="0" xfId="1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9" fillId="5" borderId="1" xfId="2" applyFill="1" applyBorder="1" applyAlignment="1">
      <alignment horizontal="center"/>
    </xf>
    <xf numFmtId="0" fontId="29" fillId="5" borderId="1" xfId="1" applyFill="1" applyBorder="1" applyAlignment="1">
      <alignment horizontal="center" vertical="center" wrapText="1"/>
    </xf>
    <xf numFmtId="171" fontId="33" fillId="5" borderId="1" xfId="1" applyNumberFormat="1" applyFont="1" applyFill="1" applyBorder="1" applyAlignment="1">
      <alignment horizontal="center" vertical="center" wrapText="1"/>
    </xf>
    <xf numFmtId="171" fontId="29" fillId="5" borderId="1" xfId="1" applyNumberFormat="1" applyFill="1" applyBorder="1" applyAlignment="1">
      <alignment horizontal="center" vertical="center" wrapText="1"/>
    </xf>
    <xf numFmtId="166" fontId="0" fillId="5" borderId="0" xfId="0" applyNumberFormat="1" applyFill="1"/>
    <xf numFmtId="0" fontId="8" fillId="5" borderId="1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169" fontId="0" fillId="5" borderId="19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5" borderId="20" xfId="0" applyFill="1" applyBorder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25" fillId="5" borderId="11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0" fontId="29" fillId="5" borderId="15" xfId="1" applyFill="1" applyBorder="1" applyAlignment="1">
      <alignment horizontal="center" vertical="center" wrapText="1"/>
    </xf>
    <xf numFmtId="0" fontId="29" fillId="5" borderId="16" xfId="1" applyFill="1" applyBorder="1" applyAlignment="1">
      <alignment horizontal="center" vertical="center" wrapText="1"/>
    </xf>
    <xf numFmtId="0" fontId="29" fillId="5" borderId="17" xfId="1" applyFill="1" applyBorder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30" fillId="5" borderId="10" xfId="1" applyFont="1" applyFill="1" applyBorder="1" applyAlignment="1">
      <alignment horizontal="center"/>
    </xf>
    <xf numFmtId="0" fontId="30" fillId="5" borderId="13" xfId="1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24" fillId="5" borderId="10" xfId="0" applyFont="1" applyFill="1" applyBorder="1" applyAlignment="1">
      <alignment horizontal="center" wrapText="1"/>
    </xf>
    <xf numFmtId="0" fontId="24" fillId="5" borderId="13" xfId="0" applyFont="1" applyFill="1" applyBorder="1" applyAlignment="1">
      <alignment horizontal="center" wrapText="1"/>
    </xf>
    <xf numFmtId="0" fontId="24" fillId="5" borderId="11" xfId="0" applyFont="1" applyFill="1" applyBorder="1" applyAlignment="1">
      <alignment horizontal="center" wrapText="1"/>
    </xf>
    <xf numFmtId="0" fontId="24" fillId="5" borderId="1" xfId="0" applyFont="1" applyFill="1" applyBorder="1" applyAlignment="1">
      <alignment horizontal="center" wrapText="1"/>
    </xf>
    <xf numFmtId="0" fontId="25" fillId="5" borderId="1" xfId="0" applyFont="1" applyFill="1" applyBorder="1" applyAlignment="1">
      <alignment horizontal="center"/>
    </xf>
    <xf numFmtId="0" fontId="26" fillId="5" borderId="11" xfId="0" applyFont="1" applyFill="1" applyBorder="1" applyAlignment="1">
      <alignment horizontal="center"/>
    </xf>
  </cellXfs>
  <cellStyles count="3">
    <cellStyle name="Normal" xfId="0" builtinId="0"/>
    <cellStyle name="Обычный 2" xfId="2" xr:uid="{57D31EF6-EDB9-4361-95B5-5F2B5A3786E5}"/>
    <cellStyle name="Обычный_расчет ЗВ1" xfId="1" xr:uid="{FFA3E832-6C1A-4E43-85E1-A938391F9B8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219076</xdr:colOff>
      <xdr:row>4</xdr:row>
      <xdr:rowOff>15875</xdr:rowOff>
    </xdr:from>
    <xdr:ext cx="2678698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2047876" y="1225550"/>
              <a:ext cx="267869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5∗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7∗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</m:oMath>
                </m:oMathPara>
              </a14:m>
              <a:endParaRPr lang="ru-RU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047876" y="1225550"/>
              <a:ext cx="267869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𝐺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𝑘3∗𝑘4∗𝑘5∗𝑘6∗𝑘7∗𝑄∗𝐹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𝐺</a:t>
              </a:r>
              <a:endParaRPr lang="ru-RU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27</xdr:row>
          <xdr:rowOff>0</xdr:rowOff>
        </xdr:from>
        <xdr:to>
          <xdr:col>10</xdr:col>
          <xdr:colOff>114300</xdr:colOff>
          <xdr:row>27</xdr:row>
          <xdr:rowOff>219075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314325</xdr:colOff>
          <xdr:row>27</xdr:row>
          <xdr:rowOff>38100</xdr:rowOff>
        </xdr:from>
        <xdr:to>
          <xdr:col>9</xdr:col>
          <xdr:colOff>523875</xdr:colOff>
          <xdr:row>28</xdr:row>
          <xdr:rowOff>238125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30</xdr:row>
          <xdr:rowOff>0</xdr:rowOff>
        </xdr:from>
        <xdr:to>
          <xdr:col>11</xdr:col>
          <xdr:colOff>114300</xdr:colOff>
          <xdr:row>30</xdr:row>
          <xdr:rowOff>219075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30</xdr:row>
          <xdr:rowOff>142875</xdr:rowOff>
        </xdr:from>
        <xdr:to>
          <xdr:col>10</xdr:col>
          <xdr:colOff>390525</xdr:colOff>
          <xdr:row>30</xdr:row>
          <xdr:rowOff>381000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219076</xdr:colOff>
      <xdr:row>4</xdr:row>
      <xdr:rowOff>15875</xdr:rowOff>
    </xdr:from>
    <xdr:ext cx="2678698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47876" y="1225550"/>
              <a:ext cx="267869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5∗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7∗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</m:oMath>
                </m:oMathPara>
              </a14:m>
              <a:endParaRPr lang="ru-RU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47876" y="1225550"/>
              <a:ext cx="2678698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𝐺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𝑘3∗𝑘4∗𝑘5∗𝑘6∗𝑘7∗𝑄∗𝐹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𝐺</a:t>
              </a:r>
              <a:endParaRPr lang="ru-RU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27</xdr:row>
          <xdr:rowOff>0</xdr:rowOff>
        </xdr:from>
        <xdr:to>
          <xdr:col>10</xdr:col>
          <xdr:colOff>114300</xdr:colOff>
          <xdr:row>27</xdr:row>
          <xdr:rowOff>219075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314325</xdr:colOff>
          <xdr:row>27</xdr:row>
          <xdr:rowOff>38100</xdr:rowOff>
        </xdr:from>
        <xdr:to>
          <xdr:col>9</xdr:col>
          <xdr:colOff>523875</xdr:colOff>
          <xdr:row>28</xdr:row>
          <xdr:rowOff>238125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30</xdr:row>
          <xdr:rowOff>0</xdr:rowOff>
        </xdr:from>
        <xdr:to>
          <xdr:col>11</xdr:col>
          <xdr:colOff>114300</xdr:colOff>
          <xdr:row>30</xdr:row>
          <xdr:rowOff>219075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609600</xdr:colOff>
          <xdr:row>30</xdr:row>
          <xdr:rowOff>142875</xdr:rowOff>
        </xdr:from>
        <xdr:to>
          <xdr:col>10</xdr:col>
          <xdr:colOff>390525</xdr:colOff>
          <xdr:row>30</xdr:row>
          <xdr:rowOff>381000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Relationship Id="rId9" Type="http://schemas.openxmlformats.org/officeDocument/2006/relationships/image" Target="../media/image3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wmf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C8" sqref="C8"/>
    </sheetView>
  </sheetViews>
  <sheetFormatPr defaultRowHeight="15" x14ac:dyDescent="0.25"/>
  <cols>
    <col min="1" max="1" width="39.85546875" customWidth="1"/>
    <col min="2" max="2" width="14.42578125" customWidth="1"/>
    <col min="3" max="3" width="18.7109375" bestFit="1" customWidth="1"/>
    <col min="6" max="6" width="10.42578125" bestFit="1" customWidth="1"/>
  </cols>
  <sheetData>
    <row r="1" spans="1:7" ht="18.75" x14ac:dyDescent="0.25">
      <c r="A1" s="5" t="s">
        <v>4</v>
      </c>
    </row>
    <row r="2" spans="1:7" ht="19.5" customHeight="1" x14ac:dyDescent="0.25">
      <c r="A2" s="6" t="s">
        <v>5</v>
      </c>
      <c r="B2" s="7"/>
      <c r="C2" s="8" t="s">
        <v>147</v>
      </c>
      <c r="D2" s="6" t="s">
        <v>6</v>
      </c>
      <c r="E2" s="6" t="s">
        <v>7</v>
      </c>
      <c r="F2" s="8" t="e">
        <f>C2*198*60*60/1000000</f>
        <v>#VALUE!</v>
      </c>
      <c r="G2" s="6" t="s">
        <v>60</v>
      </c>
    </row>
    <row r="3" spans="1:7" x14ac:dyDescent="0.25">
      <c r="A3" s="6"/>
    </row>
    <row r="4" spans="1:7" x14ac:dyDescent="0.25">
      <c r="A4" s="109" t="s">
        <v>8</v>
      </c>
      <c r="B4" s="109"/>
      <c r="C4" s="109"/>
      <c r="D4" s="7"/>
      <c r="E4" s="7"/>
    </row>
    <row r="5" spans="1:7" x14ac:dyDescent="0.25">
      <c r="A5" s="109" t="s">
        <v>9</v>
      </c>
      <c r="B5" s="109"/>
      <c r="C5" s="7"/>
      <c r="D5" s="7"/>
      <c r="E5" s="6">
        <v>14.23</v>
      </c>
    </row>
    <row r="6" spans="1:7" ht="17.25" customHeight="1" x14ac:dyDescent="0.25">
      <c r="A6" s="6" t="s">
        <v>10</v>
      </c>
      <c r="B6" s="7"/>
      <c r="C6" s="7"/>
      <c r="D6" s="7"/>
      <c r="E6" s="6">
        <v>0.37</v>
      </c>
    </row>
    <row r="7" spans="1:7" x14ac:dyDescent="0.25">
      <c r="A7" s="109" t="s">
        <v>11</v>
      </c>
      <c r="B7" s="109"/>
      <c r="C7" s="7"/>
      <c r="D7" s="7"/>
      <c r="E7" s="6">
        <f>4562*0.004187</f>
        <v>19.101094</v>
      </c>
    </row>
    <row r="8" spans="1:7" ht="17.25" customHeight="1" x14ac:dyDescent="0.25">
      <c r="A8" s="6" t="s">
        <v>12</v>
      </c>
      <c r="B8" s="7"/>
      <c r="C8" s="7"/>
      <c r="D8" s="7"/>
      <c r="E8" s="6">
        <v>0.8</v>
      </c>
    </row>
    <row r="9" spans="1:7" x14ac:dyDescent="0.25">
      <c r="A9" s="109" t="s">
        <v>13</v>
      </c>
      <c r="B9" s="109"/>
      <c r="C9" s="7"/>
      <c r="D9" s="7"/>
      <c r="E9" s="6">
        <v>0</v>
      </c>
    </row>
    <row r="10" spans="1:7" ht="15" customHeight="1" x14ac:dyDescent="0.25">
      <c r="A10" s="9" t="s">
        <v>14</v>
      </c>
    </row>
    <row r="11" spans="1:7" ht="15.75" thickBot="1" x14ac:dyDescent="0.3">
      <c r="A11" s="110" t="s">
        <v>15</v>
      </c>
      <c r="B11" s="110"/>
      <c r="C11" s="7"/>
      <c r="D11" s="6" t="s">
        <v>16</v>
      </c>
      <c r="E11" s="6">
        <v>2.3E-3</v>
      </c>
      <c r="F11" s="7"/>
    </row>
    <row r="12" spans="1:7" ht="15.75" thickBot="1" x14ac:dyDescent="0.3">
      <c r="A12" s="10"/>
      <c r="B12" s="11" t="s">
        <v>17</v>
      </c>
      <c r="C12" s="11" t="s">
        <v>18</v>
      </c>
      <c r="D12" s="11" t="s">
        <v>19</v>
      </c>
      <c r="E12" s="11" t="s">
        <v>20</v>
      </c>
      <c r="F12" s="11"/>
    </row>
    <row r="13" spans="1:7" ht="15.75" thickBot="1" x14ac:dyDescent="0.3">
      <c r="A13" s="12" t="s">
        <v>58</v>
      </c>
      <c r="B13" s="13" t="e">
        <f>F2</f>
        <v>#VALUE!</v>
      </c>
      <c r="C13" s="13">
        <f>E5</f>
        <v>14.23</v>
      </c>
      <c r="D13" s="13">
        <f>E11</f>
        <v>2.3E-3</v>
      </c>
      <c r="E13" s="14" t="e">
        <f>B13*C13*D13</f>
        <v>#VALUE!</v>
      </c>
      <c r="F13" s="13" t="s">
        <v>60</v>
      </c>
    </row>
    <row r="14" spans="1:7" ht="45.75" thickBot="1" x14ac:dyDescent="0.3">
      <c r="A14" s="12" t="s">
        <v>21</v>
      </c>
      <c r="B14" s="13" t="str">
        <f>C2</f>
        <v>{ coalConsumption }</v>
      </c>
      <c r="C14" s="13">
        <f>E5</f>
        <v>14.23</v>
      </c>
      <c r="D14" s="13">
        <f>E11</f>
        <v>2.3E-3</v>
      </c>
      <c r="E14" s="14" t="e">
        <f>B14*C14*D14</f>
        <v>#VALUE!</v>
      </c>
      <c r="F14" s="13" t="s">
        <v>22</v>
      </c>
    </row>
    <row r="15" spans="1:7" x14ac:dyDescent="0.25">
      <c r="A15" s="9" t="s">
        <v>23</v>
      </c>
    </row>
    <row r="16" spans="1:7" ht="15.75" thickBot="1" x14ac:dyDescent="0.3">
      <c r="A16" s="110" t="s">
        <v>24</v>
      </c>
      <c r="B16" s="110"/>
      <c r="C16" s="7"/>
      <c r="D16" s="7"/>
      <c r="E16" s="7"/>
    </row>
    <row r="17" spans="1:5" ht="15.75" thickBot="1" x14ac:dyDescent="0.3">
      <c r="A17" s="10"/>
      <c r="B17" s="11" t="s">
        <v>17</v>
      </c>
      <c r="C17" s="11" t="s">
        <v>25</v>
      </c>
      <c r="D17" s="11" t="s">
        <v>20</v>
      </c>
      <c r="E17" s="11"/>
    </row>
    <row r="18" spans="1:5" ht="15.75" thickBot="1" x14ac:dyDescent="0.3">
      <c r="A18" s="12" t="s">
        <v>58</v>
      </c>
      <c r="B18" s="13" t="e">
        <f>F2</f>
        <v>#VALUE!</v>
      </c>
      <c r="C18" s="13">
        <f>E6</f>
        <v>0.37</v>
      </c>
      <c r="D18" s="14" t="e">
        <f>0.02*C18*B18*(1-E9)</f>
        <v>#VALUE!</v>
      </c>
      <c r="E18" s="13" t="s">
        <v>60</v>
      </c>
    </row>
    <row r="19" spans="1:5" ht="45.75" thickBot="1" x14ac:dyDescent="0.3">
      <c r="A19" s="12" t="s">
        <v>21</v>
      </c>
      <c r="B19" s="13" t="str">
        <f>C2</f>
        <v>{ coalConsumption }</v>
      </c>
      <c r="C19" s="13">
        <f>E6</f>
        <v>0.37</v>
      </c>
      <c r="D19" s="14" t="e">
        <f>0.02*C19*B19*(1-E9)</f>
        <v>#VALUE!</v>
      </c>
      <c r="E19" s="13" t="s">
        <v>22</v>
      </c>
    </row>
    <row r="20" spans="1:5" x14ac:dyDescent="0.25">
      <c r="A20" s="9" t="s">
        <v>26</v>
      </c>
    </row>
    <row r="21" spans="1:5" x14ac:dyDescent="0.25">
      <c r="A21" s="109" t="s">
        <v>27</v>
      </c>
      <c r="B21" s="109"/>
      <c r="C21" s="109"/>
      <c r="D21" s="7"/>
      <c r="E21" s="7"/>
    </row>
    <row r="22" spans="1:5" x14ac:dyDescent="0.25">
      <c r="A22" s="6" t="s">
        <v>0</v>
      </c>
      <c r="B22" s="7"/>
      <c r="C22" s="7"/>
      <c r="D22" s="7"/>
      <c r="E22" s="7"/>
    </row>
    <row r="23" spans="1:5" ht="15.75" thickBot="1" x14ac:dyDescent="0.3">
      <c r="A23" s="6" t="s">
        <v>28</v>
      </c>
      <c r="B23" s="7"/>
      <c r="C23" s="7"/>
      <c r="D23" s="7"/>
      <c r="E23" s="7"/>
    </row>
    <row r="24" spans="1:5" ht="15.75" thickBot="1" x14ac:dyDescent="0.3">
      <c r="A24" s="10" t="s">
        <v>29</v>
      </c>
      <c r="B24" s="11" t="s">
        <v>2</v>
      </c>
      <c r="C24" s="11" t="s">
        <v>30</v>
      </c>
      <c r="D24" s="11" t="s">
        <v>3</v>
      </c>
      <c r="E24" s="7"/>
    </row>
    <row r="25" spans="1:5" ht="15.75" thickBot="1" x14ac:dyDescent="0.3">
      <c r="A25" s="12">
        <v>2</v>
      </c>
      <c r="B25" s="13">
        <v>1</v>
      </c>
      <c r="C25" s="13">
        <v>19.100000000000001</v>
      </c>
      <c r="D25" s="13">
        <f>A25*B25*C25</f>
        <v>38.200000000000003</v>
      </c>
      <c r="E25" s="7"/>
    </row>
    <row r="26" spans="1:5" ht="15.75" thickBot="1" x14ac:dyDescent="0.3">
      <c r="A26" s="6" t="s">
        <v>31</v>
      </c>
      <c r="B26" s="6">
        <v>8</v>
      </c>
      <c r="C26" s="7"/>
      <c r="D26" s="7"/>
      <c r="E26" s="7"/>
    </row>
    <row r="27" spans="1:5" ht="15.75" thickBot="1" x14ac:dyDescent="0.3">
      <c r="A27" s="10"/>
      <c r="B27" s="11" t="s">
        <v>17</v>
      </c>
      <c r="C27" s="11" t="s">
        <v>3</v>
      </c>
      <c r="D27" s="11" t="s">
        <v>20</v>
      </c>
      <c r="E27" s="11"/>
    </row>
    <row r="28" spans="1:5" ht="15.75" thickBot="1" x14ac:dyDescent="0.3">
      <c r="A28" s="12" t="s">
        <v>59</v>
      </c>
      <c r="B28" s="13" t="e">
        <f>F2</f>
        <v>#VALUE!</v>
      </c>
      <c r="C28" s="13">
        <f>D25</f>
        <v>38.200000000000003</v>
      </c>
      <c r="D28" s="14" t="e">
        <f>0.001*C28*B28*(1-8/100)</f>
        <v>#VALUE!</v>
      </c>
      <c r="E28" s="13" t="s">
        <v>60</v>
      </c>
    </row>
    <row r="29" spans="1:5" ht="45.75" thickBot="1" x14ac:dyDescent="0.3">
      <c r="A29" s="12" t="s">
        <v>21</v>
      </c>
      <c r="B29" s="13" t="str">
        <f>C2</f>
        <v>{ coalConsumption }</v>
      </c>
      <c r="C29" s="13">
        <f>D25</f>
        <v>38.200000000000003</v>
      </c>
      <c r="D29" s="14" t="e">
        <f>0.001*C29*B29*(1-8/100)</f>
        <v>#VALUE!</v>
      </c>
      <c r="E29" s="13" t="s">
        <v>22</v>
      </c>
    </row>
    <row r="30" spans="1:5" x14ac:dyDescent="0.25">
      <c r="A30" s="9" t="s">
        <v>32</v>
      </c>
    </row>
    <row r="31" spans="1:5" x14ac:dyDescent="0.25">
      <c r="A31" s="109" t="s">
        <v>33</v>
      </c>
      <c r="B31" s="109"/>
      <c r="C31" s="7"/>
      <c r="D31" s="7"/>
      <c r="E31" s="7"/>
    </row>
    <row r="32" spans="1:5" ht="15.75" thickBot="1" x14ac:dyDescent="0.3">
      <c r="A32" s="7"/>
      <c r="B32" s="6" t="s">
        <v>34</v>
      </c>
      <c r="C32" s="6">
        <v>0.1946</v>
      </c>
      <c r="D32" s="7"/>
      <c r="E32" s="7"/>
    </row>
    <row r="33" spans="1:7" ht="15.75" thickBot="1" x14ac:dyDescent="0.3">
      <c r="A33" s="10"/>
      <c r="B33" s="11" t="s">
        <v>17</v>
      </c>
      <c r="C33" s="11" t="s">
        <v>30</v>
      </c>
      <c r="D33" s="11" t="s">
        <v>20</v>
      </c>
      <c r="E33" s="11"/>
    </row>
    <row r="34" spans="1:7" ht="15.75" thickBot="1" x14ac:dyDescent="0.3">
      <c r="A34" s="12" t="s">
        <v>58</v>
      </c>
      <c r="B34" s="13" t="e">
        <f>F2</f>
        <v>#VALUE!</v>
      </c>
      <c r="C34" s="40">
        <f>E7</f>
        <v>19.101094</v>
      </c>
      <c r="D34" s="15" t="e">
        <f>0.001*B34*C34*C32</f>
        <v>#VALUE!</v>
      </c>
      <c r="E34" s="13" t="s">
        <v>60</v>
      </c>
    </row>
    <row r="35" spans="1:7" ht="45.75" thickBot="1" x14ac:dyDescent="0.3">
      <c r="A35" s="12" t="s">
        <v>21</v>
      </c>
      <c r="B35" s="13" t="str">
        <f>C2</f>
        <v>{ coalConsumption }</v>
      </c>
      <c r="C35" s="13">
        <v>19.100000000000001</v>
      </c>
      <c r="D35" s="15" t="e">
        <f>0.001*B35*C35*C32</f>
        <v>#VALUE!</v>
      </c>
      <c r="E35" s="13" t="s">
        <v>22</v>
      </c>
    </row>
    <row r="36" spans="1:7" ht="15.75" thickBot="1" x14ac:dyDescent="0.3">
      <c r="A36" s="9" t="s">
        <v>35</v>
      </c>
    </row>
    <row r="37" spans="1:7" ht="15.75" thickBot="1" x14ac:dyDescent="0.3">
      <c r="A37" s="10" t="s">
        <v>20</v>
      </c>
      <c r="B37" s="11"/>
    </row>
    <row r="38" spans="1:7" ht="15.75" thickBot="1" x14ac:dyDescent="0.3">
      <c r="A38" s="38" t="e">
        <f>D34*0.8</f>
        <v>#VALUE!</v>
      </c>
      <c r="B38" s="13" t="s">
        <v>60</v>
      </c>
    </row>
    <row r="39" spans="1:7" ht="15.75" thickBot="1" x14ac:dyDescent="0.3">
      <c r="A39" s="16" t="e">
        <f>D35*0.8</f>
        <v>#VALUE!</v>
      </c>
      <c r="B39" s="13" t="s">
        <v>22</v>
      </c>
    </row>
    <row r="40" spans="1:7" ht="15.75" thickBot="1" x14ac:dyDescent="0.3">
      <c r="A40" s="9" t="s">
        <v>36</v>
      </c>
    </row>
    <row r="41" spans="1:7" ht="15.75" thickBot="1" x14ac:dyDescent="0.3">
      <c r="A41" s="10" t="s">
        <v>20</v>
      </c>
      <c r="B41" s="11"/>
    </row>
    <row r="42" spans="1:7" ht="15.75" thickBot="1" x14ac:dyDescent="0.3">
      <c r="A42" s="39" t="e">
        <f>D34*0.13</f>
        <v>#VALUE!</v>
      </c>
      <c r="B42" s="13" t="s">
        <v>60</v>
      </c>
    </row>
    <row r="43" spans="1:7" ht="15.75" thickBot="1" x14ac:dyDescent="0.3">
      <c r="A43" s="16" t="e">
        <f>D35*0.13</f>
        <v>#VALUE!</v>
      </c>
      <c r="B43" s="13" t="s">
        <v>22</v>
      </c>
    </row>
    <row r="44" spans="1:7" x14ac:dyDescent="0.25">
      <c r="A44" s="17"/>
      <c r="B44" s="6"/>
    </row>
    <row r="45" spans="1:7" ht="15.75" x14ac:dyDescent="0.25">
      <c r="A45" s="41" t="s">
        <v>61</v>
      </c>
      <c r="B45" s="4" t="s">
        <v>60</v>
      </c>
      <c r="C45" s="4" t="s">
        <v>37</v>
      </c>
    </row>
    <row r="46" spans="1:7" x14ac:dyDescent="0.25">
      <c r="A46" s="42" t="s">
        <v>64</v>
      </c>
      <c r="B46" s="44" t="e">
        <f>E13</f>
        <v>#VALUE!</v>
      </c>
      <c r="C46" s="44" t="e">
        <f>E14</f>
        <v>#VALUE!</v>
      </c>
      <c r="E46" s="44"/>
    </row>
    <row r="47" spans="1:7" x14ac:dyDescent="0.25">
      <c r="A47" s="42" t="s">
        <v>65</v>
      </c>
      <c r="B47" s="44" t="e">
        <f>D18</f>
        <v>#VALUE!</v>
      </c>
      <c r="C47" s="44" t="e">
        <f>D19</f>
        <v>#VALUE!</v>
      </c>
      <c r="E47" s="44"/>
      <c r="G47" s="61"/>
    </row>
    <row r="48" spans="1:7" x14ac:dyDescent="0.25">
      <c r="A48" s="42" t="s">
        <v>66</v>
      </c>
      <c r="B48" s="44" t="e">
        <f>D28</f>
        <v>#VALUE!</v>
      </c>
      <c r="C48" s="44" t="e">
        <f>D29</f>
        <v>#VALUE!</v>
      </c>
    </row>
    <row r="49" spans="1:3" x14ac:dyDescent="0.25">
      <c r="A49" s="42" t="s">
        <v>62</v>
      </c>
      <c r="B49" s="44" t="e">
        <f>A38</f>
        <v>#VALUE!</v>
      </c>
      <c r="C49" s="44" t="e">
        <f>A39</f>
        <v>#VALUE!</v>
      </c>
    </row>
    <row r="50" spans="1:3" x14ac:dyDescent="0.25">
      <c r="A50" s="42" t="s">
        <v>63</v>
      </c>
      <c r="B50" s="44" t="e">
        <f>A42</f>
        <v>#VALUE!</v>
      </c>
      <c r="C50" s="44" t="e">
        <f>A43</f>
        <v>#VALUE!</v>
      </c>
    </row>
  </sheetData>
  <mergeCells count="8">
    <mergeCell ref="A21:C21"/>
    <mergeCell ref="A31:B31"/>
    <mergeCell ref="A4:C4"/>
    <mergeCell ref="A5:B5"/>
    <mergeCell ref="A7:B7"/>
    <mergeCell ref="A9:B9"/>
    <mergeCell ref="A11:B11"/>
    <mergeCell ref="A16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workbookViewId="0">
      <selection activeCell="C3" sqref="C3"/>
    </sheetView>
  </sheetViews>
  <sheetFormatPr defaultRowHeight="15" x14ac:dyDescent="0.25"/>
  <cols>
    <col min="11" max="11" width="13.5703125" bestFit="1" customWidth="1"/>
  </cols>
  <sheetData>
    <row r="1" spans="1:13" ht="18.75" x14ac:dyDescent="0.25">
      <c r="A1" s="5" t="s">
        <v>38</v>
      </c>
    </row>
    <row r="2" spans="1:13" ht="42" customHeight="1" x14ac:dyDescent="0.25">
      <c r="A2" s="113" t="s">
        <v>39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 spans="1:13" ht="19.5" customHeight="1" x14ac:dyDescent="0.25">
      <c r="A3" s="1" t="s">
        <v>78</v>
      </c>
      <c r="B3" s="1" t="s">
        <v>75</v>
      </c>
      <c r="C3" s="1" t="str">
        <f>котельная!C2</f>
        <v>{ coalConsumption }</v>
      </c>
      <c r="D3" s="1" t="s">
        <v>76</v>
      </c>
      <c r="E3" s="1" t="s">
        <v>1</v>
      </c>
      <c r="F3" s="48" t="e">
        <f>C3*15*3600/1000000</f>
        <v>#VALUE!</v>
      </c>
      <c r="G3" s="1" t="s">
        <v>77</v>
      </c>
      <c r="K3" s="45"/>
      <c r="L3" s="45"/>
      <c r="M3" s="45"/>
    </row>
    <row r="4" spans="1:13" x14ac:dyDescent="0.25">
      <c r="A4" s="114" t="s">
        <v>40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20.25" customHeight="1" x14ac:dyDescent="0.25">
      <c r="A7" s="112" t="s">
        <v>67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3">
        <v>0.03</v>
      </c>
    </row>
    <row r="8" spans="1:13" ht="15" customHeight="1" x14ac:dyDescent="0.25">
      <c r="A8" s="112" t="s">
        <v>68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3">
        <v>0.02</v>
      </c>
    </row>
    <row r="9" spans="1:13" ht="15" customHeight="1" x14ac:dyDescent="0.25">
      <c r="A9" s="111" t="s">
        <v>69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49">
        <v>1.2</v>
      </c>
    </row>
    <row r="10" spans="1:13" ht="35.25" customHeight="1" x14ac:dyDescent="0.25">
      <c r="A10" s="111" t="s">
        <v>70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46">
        <v>0.1</v>
      </c>
    </row>
    <row r="11" spans="1:13" ht="16.5" customHeight="1" x14ac:dyDescent="0.25">
      <c r="A11" s="112" t="s">
        <v>71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3">
        <v>0.9</v>
      </c>
    </row>
    <row r="12" spans="1:13" ht="16.5" customHeight="1" x14ac:dyDescent="0.25">
      <c r="A12" s="115" t="s">
        <v>82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7"/>
      <c r="M12" s="3">
        <v>1.45</v>
      </c>
    </row>
    <row r="13" spans="1:13" x14ac:dyDescent="0.25">
      <c r="A13" s="112" t="s">
        <v>72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3">
        <v>0.4</v>
      </c>
    </row>
    <row r="14" spans="1:13" x14ac:dyDescent="0.25">
      <c r="A14" s="115" t="s">
        <v>81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7"/>
      <c r="M14" s="3">
        <v>5.0000000000000001E-3</v>
      </c>
    </row>
    <row r="15" spans="1:13" x14ac:dyDescent="0.25">
      <c r="A15" s="115" t="s">
        <v>84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  <c r="M15" s="3">
        <v>1.5</v>
      </c>
    </row>
    <row r="16" spans="1:13" x14ac:dyDescent="0.25">
      <c r="A16" s="115" t="s">
        <v>80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  <c r="M16" s="3">
        <v>20</v>
      </c>
    </row>
    <row r="17" spans="1:14" x14ac:dyDescent="0.25">
      <c r="A17" s="112" t="s">
        <v>73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47" t="e">
        <f>F3</f>
        <v>#VALUE!</v>
      </c>
    </row>
    <row r="18" spans="1:14" x14ac:dyDescent="0.25">
      <c r="A18" s="112" t="s">
        <v>74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3" t="str">
        <f>C3</f>
        <v>{ coalConsumption }</v>
      </c>
    </row>
    <row r="19" spans="1:14" x14ac:dyDescent="0.25">
      <c r="A19" s="115" t="s">
        <v>91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3">
        <v>1</v>
      </c>
    </row>
    <row r="20" spans="1:14" x14ac:dyDescent="0.25">
      <c r="A20" s="115" t="s">
        <v>92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7"/>
      <c r="M20" s="3">
        <v>1</v>
      </c>
    </row>
    <row r="21" spans="1:14" x14ac:dyDescent="0.25">
      <c r="A21" s="18"/>
    </row>
    <row r="22" spans="1:14" x14ac:dyDescent="0.25">
      <c r="A22" s="19" t="s">
        <v>41</v>
      </c>
    </row>
    <row r="23" spans="1:14" ht="18.75" x14ac:dyDescent="0.25">
      <c r="A23" s="20"/>
      <c r="B23" s="20" t="s">
        <v>42</v>
      </c>
      <c r="C23" s="20" t="s">
        <v>43</v>
      </c>
      <c r="D23" s="20" t="s">
        <v>44</v>
      </c>
      <c r="E23" s="20" t="s">
        <v>45</v>
      </c>
      <c r="F23" s="20" t="s">
        <v>46</v>
      </c>
      <c r="G23" s="20" t="s">
        <v>30</v>
      </c>
      <c r="H23" s="20" t="s">
        <v>79</v>
      </c>
      <c r="I23" s="21" t="s">
        <v>83</v>
      </c>
      <c r="J23" s="22" t="s">
        <v>47</v>
      </c>
      <c r="K23" s="23" t="s">
        <v>48</v>
      </c>
    </row>
    <row r="24" spans="1:14" ht="18.75" x14ac:dyDescent="0.25">
      <c r="A24" s="20" t="s">
        <v>20</v>
      </c>
      <c r="B24" s="20">
        <f>M9</f>
        <v>1.2</v>
      </c>
      <c r="C24" s="50">
        <f>M10</f>
        <v>0.1</v>
      </c>
      <c r="D24" s="20">
        <f>M11</f>
        <v>0.9</v>
      </c>
      <c r="E24" s="20">
        <f>M12</f>
        <v>1.45</v>
      </c>
      <c r="F24" s="20">
        <f>M13</f>
        <v>0.4</v>
      </c>
      <c r="G24" s="20">
        <f>M14</f>
        <v>5.0000000000000001E-3</v>
      </c>
      <c r="H24" s="20">
        <v>50</v>
      </c>
      <c r="I24" s="51" t="e">
        <f>M17</f>
        <v>#VALUE!</v>
      </c>
      <c r="J24" s="27" t="e">
        <f>B24*C24*D24*E24*F24*G24*H24*M17</f>
        <v>#VALUE!</v>
      </c>
      <c r="K24" s="23" t="s">
        <v>60</v>
      </c>
    </row>
    <row r="25" spans="1:14" ht="18.75" x14ac:dyDescent="0.25">
      <c r="A25" s="20" t="s">
        <v>20</v>
      </c>
      <c r="B25" s="20">
        <f>M9</f>
        <v>1.2</v>
      </c>
      <c r="C25" s="50">
        <f>M10</f>
        <v>0.1</v>
      </c>
      <c r="D25" s="20">
        <f>M11</f>
        <v>0.9</v>
      </c>
      <c r="E25" s="20">
        <f>M12</f>
        <v>1.45</v>
      </c>
      <c r="F25" s="24">
        <f>M13</f>
        <v>0.4</v>
      </c>
      <c r="G25" s="25">
        <f>M14</f>
        <v>5.0000000000000001E-3</v>
      </c>
      <c r="H25" s="20">
        <v>20</v>
      </c>
      <c r="I25" s="26" t="str">
        <f>M18</f>
        <v>{ coalConsumption }</v>
      </c>
      <c r="J25" s="27" t="e">
        <f>B25*C25*D25*E25*F25*G25*H25*I25</f>
        <v>#VALUE!</v>
      </c>
      <c r="K25" s="28" t="s">
        <v>37</v>
      </c>
    </row>
    <row r="26" spans="1:14" x14ac:dyDescent="0.25">
      <c r="A26" s="18"/>
    </row>
    <row r="27" spans="1:14" ht="18.75" x14ac:dyDescent="0.25">
      <c r="A27" s="119" t="s">
        <v>86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</row>
    <row r="28" spans="1:14" x14ac:dyDescent="0.25">
      <c r="K28" s="120" t="s">
        <v>87</v>
      </c>
      <c r="L28" s="120" t="s">
        <v>88</v>
      </c>
    </row>
    <row r="29" spans="1:14" x14ac:dyDescent="0.25">
      <c r="K29" s="120"/>
      <c r="L29" s="120"/>
    </row>
    <row r="30" spans="1:14" ht="18.75" x14ac:dyDescent="0.25">
      <c r="A30" s="118" t="s">
        <v>40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4" ht="36.75" customHeight="1" x14ac:dyDescent="0.25">
      <c r="L31" s="118" t="s">
        <v>89</v>
      </c>
      <c r="M31" s="118"/>
      <c r="N31" s="54" t="s">
        <v>90</v>
      </c>
    </row>
    <row r="32" spans="1:14" x14ac:dyDescent="0.25">
      <c r="A32" s="18"/>
    </row>
    <row r="33" spans="1:14" x14ac:dyDescent="0.25">
      <c r="A33" s="29" t="s">
        <v>94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4" ht="16.5" x14ac:dyDescent="0.3">
      <c r="A34" s="31" t="s">
        <v>49</v>
      </c>
      <c r="B34" s="31"/>
      <c r="C34" s="31"/>
      <c r="D34" s="31"/>
      <c r="E34" s="31"/>
      <c r="F34" s="31"/>
      <c r="G34" s="31"/>
      <c r="H34" s="31"/>
      <c r="I34" s="31"/>
      <c r="J34" s="31"/>
      <c r="K34" s="30"/>
      <c r="L34" s="30"/>
      <c r="M34" s="30"/>
    </row>
    <row r="35" spans="1:14" ht="30" x14ac:dyDescent="0.25">
      <c r="A35" s="32"/>
      <c r="B35" s="32" t="s">
        <v>50</v>
      </c>
      <c r="C35" s="32" t="s">
        <v>51</v>
      </c>
      <c r="D35" s="32" t="s">
        <v>42</v>
      </c>
      <c r="E35" s="32" t="s">
        <v>43</v>
      </c>
      <c r="F35" s="32" t="s">
        <v>44</v>
      </c>
      <c r="G35" s="32" t="s">
        <v>46</v>
      </c>
      <c r="H35" s="32" t="s">
        <v>52</v>
      </c>
      <c r="I35" s="32" t="s">
        <v>53</v>
      </c>
      <c r="J35" s="32" t="s">
        <v>54</v>
      </c>
      <c r="K35" s="20" t="s">
        <v>79</v>
      </c>
      <c r="L35" s="33" t="s">
        <v>55</v>
      </c>
      <c r="M35" s="34" t="s">
        <v>47</v>
      </c>
      <c r="N35" s="35" t="s">
        <v>48</v>
      </c>
    </row>
    <row r="36" spans="1:14" ht="18.75" x14ac:dyDescent="0.25">
      <c r="A36" s="32"/>
      <c r="B36" s="32">
        <f>M7</f>
        <v>0.03</v>
      </c>
      <c r="C36" s="32">
        <f>M8</f>
        <v>0.02</v>
      </c>
      <c r="D36" s="32">
        <f>M9</f>
        <v>1.2</v>
      </c>
      <c r="E36" s="36">
        <f>M10</f>
        <v>0.1</v>
      </c>
      <c r="F36" s="32">
        <f>M11</f>
        <v>0.9</v>
      </c>
      <c r="G36" s="32">
        <f>M13</f>
        <v>0.4</v>
      </c>
      <c r="H36" s="43">
        <f>M19</f>
        <v>1</v>
      </c>
      <c r="I36" s="43">
        <f>M20</f>
        <v>1</v>
      </c>
      <c r="J36" s="32">
        <f>M15</f>
        <v>1.5</v>
      </c>
      <c r="K36" s="20">
        <f>M16</f>
        <v>20</v>
      </c>
      <c r="L36" s="52" t="e">
        <f>M17</f>
        <v>#VALUE!</v>
      </c>
      <c r="M36" s="53" t="e">
        <f>B36*C36*D36*E36*F36*G36*J36*K36*L36*H36*I36</f>
        <v>#VALUE!</v>
      </c>
      <c r="N36" s="35" t="s">
        <v>60</v>
      </c>
    </row>
    <row r="37" spans="1:14" ht="18.75" x14ac:dyDescent="0.25">
      <c r="A37" s="32" t="s">
        <v>56</v>
      </c>
      <c r="B37" s="32">
        <f>M7</f>
        <v>0.03</v>
      </c>
      <c r="C37" s="32">
        <f>M8</f>
        <v>0.02</v>
      </c>
      <c r="D37" s="32">
        <f>M9</f>
        <v>1.2</v>
      </c>
      <c r="E37" s="36">
        <f>M10</f>
        <v>0.1</v>
      </c>
      <c r="F37" s="32">
        <f>M11</f>
        <v>0.9</v>
      </c>
      <c r="G37" s="32">
        <f>M13</f>
        <v>0.4</v>
      </c>
      <c r="H37" s="43">
        <f>M20</f>
        <v>1</v>
      </c>
      <c r="I37" s="43">
        <f>M20</f>
        <v>1</v>
      </c>
      <c r="J37" s="32">
        <f>M15</f>
        <v>1.5</v>
      </c>
      <c r="K37" s="20">
        <f>M16</f>
        <v>20</v>
      </c>
      <c r="L37" s="37" t="str">
        <f>M18</f>
        <v>{ coalConsumption }</v>
      </c>
      <c r="M37" s="53" t="e">
        <f>B37*C37*D37*E37*F37*G37*J37*K37*L37*H37*I37</f>
        <v>#VALUE!</v>
      </c>
      <c r="N37" s="2" t="s">
        <v>37</v>
      </c>
    </row>
    <row r="40" spans="1:14" ht="47.25" x14ac:dyDescent="0.25">
      <c r="A40" s="41" t="s">
        <v>61</v>
      </c>
      <c r="B40" s="4" t="s">
        <v>60</v>
      </c>
      <c r="C40" s="4" t="s">
        <v>37</v>
      </c>
    </row>
    <row r="41" spans="1:14" ht="38.25" x14ac:dyDescent="0.25">
      <c r="A41" s="42" t="s">
        <v>64</v>
      </c>
      <c r="B41" s="44" t="e">
        <f>J24+M36</f>
        <v>#VALUE!</v>
      </c>
      <c r="C41" s="44" t="e">
        <f>J25+M37</f>
        <v>#VALUE!</v>
      </c>
    </row>
  </sheetData>
  <mergeCells count="21">
    <mergeCell ref="L31:M31"/>
    <mergeCell ref="A19:L19"/>
    <mergeCell ref="A20:L20"/>
    <mergeCell ref="A27:N27"/>
    <mergeCell ref="K28:K29"/>
    <mergeCell ref="L28:L29"/>
    <mergeCell ref="A30:L30"/>
    <mergeCell ref="A17:L17"/>
    <mergeCell ref="A18:L18"/>
    <mergeCell ref="A14:L14"/>
    <mergeCell ref="A16:L16"/>
    <mergeCell ref="A12:L12"/>
    <mergeCell ref="A15:L15"/>
    <mergeCell ref="A10:L10"/>
    <mergeCell ref="A11:L11"/>
    <mergeCell ref="A13:L13"/>
    <mergeCell ref="A2:M2"/>
    <mergeCell ref="A4:L4"/>
    <mergeCell ref="A7:L7"/>
    <mergeCell ref="A8:L8"/>
    <mergeCell ref="A9:L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90" r:id="rId3">
          <objectPr defaultSize="0" autoPict="0" r:id="rId4">
            <anchor moveWithCells="1" sizeWithCells="1">
              <from>
                <xdr:col>10</xdr:col>
                <xdr:colOff>0</xdr:colOff>
                <xdr:row>27</xdr:row>
                <xdr:rowOff>0</xdr:rowOff>
              </from>
              <to>
                <xdr:col>10</xdr:col>
                <xdr:colOff>114300</xdr:colOff>
                <xdr:row>27</xdr:row>
                <xdr:rowOff>219075</xdr:rowOff>
              </to>
            </anchor>
          </objectPr>
        </oleObject>
      </mc:Choice>
      <mc:Fallback>
        <oleObject progId="Equation.3" shapeId="2090" r:id="rId3"/>
      </mc:Fallback>
    </mc:AlternateContent>
    <mc:AlternateContent xmlns:mc="http://schemas.openxmlformats.org/markup-compatibility/2006">
      <mc:Choice Requires="x14">
        <oleObject progId="Equation.3" shapeId="2091" r:id="rId5">
          <objectPr defaultSize="0" autoPict="0" r:id="rId6">
            <anchor moveWithCells="1" sizeWithCells="1">
              <from>
                <xdr:col>2</xdr:col>
                <xdr:colOff>314325</xdr:colOff>
                <xdr:row>27</xdr:row>
                <xdr:rowOff>38100</xdr:rowOff>
              </from>
              <to>
                <xdr:col>9</xdr:col>
                <xdr:colOff>523875</xdr:colOff>
                <xdr:row>28</xdr:row>
                <xdr:rowOff>238125</xdr:rowOff>
              </to>
            </anchor>
          </objectPr>
        </oleObject>
      </mc:Choice>
      <mc:Fallback>
        <oleObject progId="Equation.3" shapeId="2091" r:id="rId5"/>
      </mc:Fallback>
    </mc:AlternateContent>
    <mc:AlternateContent xmlns:mc="http://schemas.openxmlformats.org/markup-compatibility/2006">
      <mc:Choice Requires="x14">
        <oleObject progId="Equation.3" shapeId="2092" r:id="rId7">
          <objectPr defaultSize="0" autoPict="0" r:id="rId4">
            <anchor moveWithCells="1" sizeWithCells="1">
              <from>
                <xdr:col>11</xdr:col>
                <xdr:colOff>0</xdr:colOff>
                <xdr:row>30</xdr:row>
                <xdr:rowOff>0</xdr:rowOff>
              </from>
              <to>
                <xdr:col>11</xdr:col>
                <xdr:colOff>114300</xdr:colOff>
                <xdr:row>30</xdr:row>
                <xdr:rowOff>219075</xdr:rowOff>
              </to>
            </anchor>
          </objectPr>
        </oleObject>
      </mc:Choice>
      <mc:Fallback>
        <oleObject progId="Equation.3" shapeId="2092" r:id="rId7"/>
      </mc:Fallback>
    </mc:AlternateContent>
    <mc:AlternateContent xmlns:mc="http://schemas.openxmlformats.org/markup-compatibility/2006">
      <mc:Choice Requires="x14">
        <oleObject progId="Equation.3" shapeId="2093" r:id="rId8">
          <objectPr defaultSize="0" autoPict="0" r:id="rId9">
            <anchor moveWithCells="1" sizeWithCells="1">
              <from>
                <xdr:col>3</xdr:col>
                <xdr:colOff>609600</xdr:colOff>
                <xdr:row>30</xdr:row>
                <xdr:rowOff>142875</xdr:rowOff>
              </from>
              <to>
                <xdr:col>10</xdr:col>
                <xdr:colOff>390525</xdr:colOff>
                <xdr:row>30</xdr:row>
                <xdr:rowOff>381000</xdr:rowOff>
              </to>
            </anchor>
          </objectPr>
        </oleObject>
      </mc:Choice>
      <mc:Fallback>
        <oleObject progId="Equation.3" shapeId="2093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zoomScale="130" zoomScaleNormal="130" workbookViewId="0">
      <selection activeCell="B24" sqref="B24"/>
    </sheetView>
  </sheetViews>
  <sheetFormatPr defaultRowHeight="15" x14ac:dyDescent="0.25"/>
  <cols>
    <col min="11" max="11" width="13.5703125" bestFit="1" customWidth="1"/>
  </cols>
  <sheetData>
    <row r="1" spans="1:13" ht="18.75" x14ac:dyDescent="0.25">
      <c r="A1" s="5" t="s">
        <v>57</v>
      </c>
    </row>
    <row r="2" spans="1:13" ht="42" customHeight="1" x14ac:dyDescent="0.25">
      <c r="A2" s="113" t="s">
        <v>39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</row>
    <row r="3" spans="1:13" ht="19.5" customHeight="1" x14ac:dyDescent="0.25">
      <c r="A3" s="1" t="s">
        <v>85</v>
      </c>
      <c r="B3" s="1" t="s">
        <v>75</v>
      </c>
      <c r="C3" s="1" t="e">
        <f>котельная!C2*30%</f>
        <v>#VALUE!</v>
      </c>
      <c r="D3" s="1" t="s">
        <v>95</v>
      </c>
      <c r="E3" s="1" t="s">
        <v>1</v>
      </c>
      <c r="F3" s="48" t="e">
        <f>C3*15*3600/1000000</f>
        <v>#VALUE!</v>
      </c>
      <c r="G3" s="1" t="s">
        <v>77</v>
      </c>
      <c r="K3" s="45"/>
      <c r="L3" s="45"/>
      <c r="M3" s="45"/>
    </row>
    <row r="4" spans="1:13" x14ac:dyDescent="0.25">
      <c r="A4" s="114" t="s">
        <v>40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20.25" customHeight="1" x14ac:dyDescent="0.25">
      <c r="A7" s="112" t="s">
        <v>67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3">
        <v>0.06</v>
      </c>
    </row>
    <row r="8" spans="1:13" ht="15" customHeight="1" x14ac:dyDescent="0.25">
      <c r="A8" s="112" t="s">
        <v>68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3">
        <v>0.04</v>
      </c>
    </row>
    <row r="9" spans="1:13" ht="15" customHeight="1" x14ac:dyDescent="0.25">
      <c r="A9" s="111" t="s">
        <v>69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49">
        <v>1.2</v>
      </c>
    </row>
    <row r="10" spans="1:13" ht="35.25" customHeight="1" x14ac:dyDescent="0.25">
      <c r="A10" s="111" t="s">
        <v>70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46">
        <v>0.1</v>
      </c>
    </row>
    <row r="11" spans="1:13" ht="16.5" customHeight="1" x14ac:dyDescent="0.25">
      <c r="A11" s="112" t="s">
        <v>71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3">
        <v>0.6</v>
      </c>
    </row>
    <row r="12" spans="1:13" ht="16.5" customHeight="1" x14ac:dyDescent="0.25">
      <c r="A12" s="115" t="s">
        <v>82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7"/>
      <c r="M12" s="3">
        <v>1.45</v>
      </c>
    </row>
    <row r="13" spans="1:13" x14ac:dyDescent="0.25">
      <c r="A13" s="112" t="s">
        <v>72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3">
        <v>0.4</v>
      </c>
    </row>
    <row r="14" spans="1:13" x14ac:dyDescent="0.25">
      <c r="A14" s="115" t="s">
        <v>81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7"/>
      <c r="M14" s="3">
        <v>5.0000000000000001E-3</v>
      </c>
    </row>
    <row r="15" spans="1:13" x14ac:dyDescent="0.25">
      <c r="A15" s="115" t="s">
        <v>84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  <c r="M15" s="3">
        <v>1.5</v>
      </c>
    </row>
    <row r="16" spans="1:13" x14ac:dyDescent="0.25">
      <c r="A16" s="115" t="s">
        <v>80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  <c r="M16" s="3">
        <v>20</v>
      </c>
    </row>
    <row r="17" spans="1:14" x14ac:dyDescent="0.25">
      <c r="A17" s="112" t="s">
        <v>73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47" t="e">
        <f>F3</f>
        <v>#VALUE!</v>
      </c>
    </row>
    <row r="18" spans="1:14" x14ac:dyDescent="0.25">
      <c r="A18" s="112" t="s">
        <v>74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3" t="e">
        <f>C3</f>
        <v>#VALUE!</v>
      </c>
    </row>
    <row r="19" spans="1:14" x14ac:dyDescent="0.25">
      <c r="A19" s="115" t="s">
        <v>91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3">
        <v>1</v>
      </c>
    </row>
    <row r="20" spans="1:14" x14ac:dyDescent="0.25">
      <c r="A20" s="115" t="s">
        <v>92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7"/>
      <c r="M20" s="3">
        <v>1</v>
      </c>
    </row>
    <row r="21" spans="1:14" x14ac:dyDescent="0.25">
      <c r="A21" s="18"/>
    </row>
    <row r="22" spans="1:14" x14ac:dyDescent="0.25">
      <c r="A22" s="19" t="s">
        <v>41</v>
      </c>
    </row>
    <row r="23" spans="1:14" ht="18.75" x14ac:dyDescent="0.25">
      <c r="A23" s="20"/>
      <c r="B23" s="20" t="s">
        <v>42</v>
      </c>
      <c r="C23" s="20" t="s">
        <v>43</v>
      </c>
      <c r="D23" s="20" t="s">
        <v>44</v>
      </c>
      <c r="E23" s="20" t="s">
        <v>45</v>
      </c>
      <c r="F23" s="20" t="s">
        <v>46</v>
      </c>
      <c r="G23" s="20" t="s">
        <v>30</v>
      </c>
      <c r="H23" s="20" t="s">
        <v>79</v>
      </c>
      <c r="I23" s="21" t="s">
        <v>83</v>
      </c>
      <c r="J23" s="22" t="s">
        <v>47</v>
      </c>
      <c r="K23" s="23" t="s">
        <v>48</v>
      </c>
    </row>
    <row r="24" spans="1:14" ht="18.75" x14ac:dyDescent="0.25">
      <c r="A24" s="20" t="s">
        <v>20</v>
      </c>
      <c r="B24" s="20">
        <f>M9</f>
        <v>1.2</v>
      </c>
      <c r="C24" s="50">
        <f>M10</f>
        <v>0.1</v>
      </c>
      <c r="D24" s="20">
        <f>M11</f>
        <v>0.6</v>
      </c>
      <c r="E24" s="20">
        <f>M12</f>
        <v>1.45</v>
      </c>
      <c r="F24" s="20">
        <f>M13</f>
        <v>0.4</v>
      </c>
      <c r="G24" s="20">
        <f>M14</f>
        <v>5.0000000000000001E-3</v>
      </c>
      <c r="H24" s="20">
        <v>50</v>
      </c>
      <c r="I24" s="51" t="e">
        <f>M17</f>
        <v>#VALUE!</v>
      </c>
      <c r="J24" s="27" t="e">
        <f>B24*C24*D24*E24*F24*G24*H24*M17</f>
        <v>#VALUE!</v>
      </c>
      <c r="K24" s="23" t="s">
        <v>60</v>
      </c>
    </row>
    <row r="25" spans="1:14" ht="18.75" x14ac:dyDescent="0.25">
      <c r="A25" s="20" t="s">
        <v>20</v>
      </c>
      <c r="B25" s="20">
        <f>M9</f>
        <v>1.2</v>
      </c>
      <c r="C25" s="50">
        <f>M10</f>
        <v>0.1</v>
      </c>
      <c r="D25" s="20">
        <f>M11</f>
        <v>0.6</v>
      </c>
      <c r="E25" s="20">
        <f>M12</f>
        <v>1.45</v>
      </c>
      <c r="F25" s="24">
        <f>M13</f>
        <v>0.4</v>
      </c>
      <c r="G25" s="25">
        <f>M14</f>
        <v>5.0000000000000001E-3</v>
      </c>
      <c r="H25" s="20">
        <v>20</v>
      </c>
      <c r="I25" s="26" t="e">
        <f>M18</f>
        <v>#VALUE!</v>
      </c>
      <c r="J25" s="27" t="e">
        <f>B25*C25*D25*E25*F25*G25*H25*I25</f>
        <v>#VALUE!</v>
      </c>
      <c r="K25" s="28" t="s">
        <v>37</v>
      </c>
    </row>
    <row r="26" spans="1:14" x14ac:dyDescent="0.25">
      <c r="A26" s="18"/>
    </row>
    <row r="27" spans="1:14" ht="18.75" x14ac:dyDescent="0.25">
      <c r="A27" s="119" t="s">
        <v>86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</row>
    <row r="28" spans="1:14" x14ac:dyDescent="0.25">
      <c r="K28" s="120" t="s">
        <v>87</v>
      </c>
      <c r="L28" s="120" t="s">
        <v>88</v>
      </c>
    </row>
    <row r="29" spans="1:14" x14ac:dyDescent="0.25">
      <c r="K29" s="120"/>
      <c r="L29" s="120"/>
    </row>
    <row r="30" spans="1:14" ht="18.75" x14ac:dyDescent="0.25">
      <c r="A30" s="118" t="s">
        <v>40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4" ht="36.75" customHeight="1" x14ac:dyDescent="0.25">
      <c r="L31" s="118" t="s">
        <v>89</v>
      </c>
      <c r="M31" s="118"/>
      <c r="N31" s="54" t="s">
        <v>90</v>
      </c>
    </row>
    <row r="32" spans="1:14" x14ac:dyDescent="0.25">
      <c r="A32" s="18"/>
    </row>
    <row r="33" spans="1:14" x14ac:dyDescent="0.25">
      <c r="A33" s="29" t="s">
        <v>93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4" ht="16.5" x14ac:dyDescent="0.3">
      <c r="A34" s="31" t="s">
        <v>49</v>
      </c>
      <c r="B34" s="31"/>
      <c r="C34" s="31"/>
      <c r="D34" s="31"/>
      <c r="E34" s="31"/>
      <c r="F34" s="31"/>
      <c r="G34" s="31"/>
      <c r="H34" s="31"/>
      <c r="I34" s="31"/>
      <c r="J34" s="31"/>
      <c r="K34" s="30"/>
      <c r="L34" s="30"/>
      <c r="M34" s="30"/>
    </row>
    <row r="35" spans="1:14" ht="30" x14ac:dyDescent="0.25">
      <c r="A35" s="32"/>
      <c r="B35" s="32" t="s">
        <v>50</v>
      </c>
      <c r="C35" s="32" t="s">
        <v>51</v>
      </c>
      <c r="D35" s="32" t="s">
        <v>42</v>
      </c>
      <c r="E35" s="32" t="s">
        <v>43</v>
      </c>
      <c r="F35" s="32" t="s">
        <v>44</v>
      </c>
      <c r="G35" s="32" t="s">
        <v>46</v>
      </c>
      <c r="H35" s="32" t="s">
        <v>52</v>
      </c>
      <c r="I35" s="32" t="s">
        <v>53</v>
      </c>
      <c r="J35" s="32" t="s">
        <v>54</v>
      </c>
      <c r="K35" s="20" t="s">
        <v>79</v>
      </c>
      <c r="L35" s="33" t="s">
        <v>55</v>
      </c>
      <c r="M35" s="34" t="s">
        <v>47</v>
      </c>
      <c r="N35" s="35" t="s">
        <v>48</v>
      </c>
    </row>
    <row r="36" spans="1:14" ht="18.75" x14ac:dyDescent="0.25">
      <c r="A36" s="32"/>
      <c r="B36" s="32">
        <f>M7</f>
        <v>0.06</v>
      </c>
      <c r="C36" s="32">
        <f>M8</f>
        <v>0.04</v>
      </c>
      <c r="D36" s="32">
        <f>M9</f>
        <v>1.2</v>
      </c>
      <c r="E36" s="36">
        <f>M10</f>
        <v>0.1</v>
      </c>
      <c r="F36" s="32">
        <f>M11</f>
        <v>0.6</v>
      </c>
      <c r="G36" s="32">
        <f>M13</f>
        <v>0.4</v>
      </c>
      <c r="H36" s="43">
        <f>M19</f>
        <v>1</v>
      </c>
      <c r="I36" s="43">
        <f>M20</f>
        <v>1</v>
      </c>
      <c r="J36" s="32">
        <f>M15</f>
        <v>1.5</v>
      </c>
      <c r="K36" s="20">
        <f>M16</f>
        <v>20</v>
      </c>
      <c r="L36" s="52" t="e">
        <f>M17</f>
        <v>#VALUE!</v>
      </c>
      <c r="M36" s="53" t="e">
        <f>B36*C36*D36*E36*F36*G36*J36*K36*L36*H36*I36</f>
        <v>#VALUE!</v>
      </c>
      <c r="N36" s="35" t="s">
        <v>60</v>
      </c>
    </row>
    <row r="37" spans="1:14" ht="18.75" x14ac:dyDescent="0.25">
      <c r="A37" s="32" t="s">
        <v>56</v>
      </c>
      <c r="B37" s="32">
        <f>M7</f>
        <v>0.06</v>
      </c>
      <c r="C37" s="32">
        <f>M8</f>
        <v>0.04</v>
      </c>
      <c r="D37" s="32">
        <f>M9</f>
        <v>1.2</v>
      </c>
      <c r="E37" s="36">
        <f>M10</f>
        <v>0.1</v>
      </c>
      <c r="F37" s="32">
        <f>M11</f>
        <v>0.6</v>
      </c>
      <c r="G37" s="32">
        <f>M13</f>
        <v>0.4</v>
      </c>
      <c r="H37" s="43">
        <f>M20</f>
        <v>1</v>
      </c>
      <c r="I37" s="43">
        <f>M20</f>
        <v>1</v>
      </c>
      <c r="J37" s="32">
        <f>M15</f>
        <v>1.5</v>
      </c>
      <c r="K37" s="20">
        <f>M16</f>
        <v>20</v>
      </c>
      <c r="L37" s="37" t="e">
        <f>M18</f>
        <v>#VALUE!</v>
      </c>
      <c r="M37" s="53" t="e">
        <f>B37*C37*D37*E37*F37*G37*J37*K37*L37*H37*I37</f>
        <v>#VALUE!</v>
      </c>
      <c r="N37" s="2" t="s">
        <v>37</v>
      </c>
    </row>
    <row r="40" spans="1:14" ht="47.25" x14ac:dyDescent="0.25">
      <c r="A40" s="41" t="s">
        <v>61</v>
      </c>
      <c r="B40" s="4" t="s">
        <v>60</v>
      </c>
      <c r="C40" s="4" t="s">
        <v>37</v>
      </c>
    </row>
    <row r="41" spans="1:14" ht="38.25" x14ac:dyDescent="0.25">
      <c r="A41" s="42" t="s">
        <v>64</v>
      </c>
      <c r="B41" s="44" t="e">
        <f>J24+M36</f>
        <v>#VALUE!</v>
      </c>
      <c r="C41" s="44" t="e">
        <f>J25+M37</f>
        <v>#VALUE!</v>
      </c>
    </row>
  </sheetData>
  <mergeCells count="21">
    <mergeCell ref="L31:M31"/>
    <mergeCell ref="A19:L19"/>
    <mergeCell ref="A20:L20"/>
    <mergeCell ref="A17:L17"/>
    <mergeCell ref="A18:L18"/>
    <mergeCell ref="A27:N27"/>
    <mergeCell ref="K28:K29"/>
    <mergeCell ref="L28:L29"/>
    <mergeCell ref="A30:L30"/>
    <mergeCell ref="A16:L16"/>
    <mergeCell ref="A2:M2"/>
    <mergeCell ref="A4:L4"/>
    <mergeCell ref="A7:L7"/>
    <mergeCell ref="A8:L8"/>
    <mergeCell ref="A9:L9"/>
    <mergeCell ref="A10:L10"/>
    <mergeCell ref="A11:L11"/>
    <mergeCell ref="A12:L12"/>
    <mergeCell ref="A13:L13"/>
    <mergeCell ref="A14:L14"/>
    <mergeCell ref="A15:L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10</xdr:col>
                <xdr:colOff>0</xdr:colOff>
                <xdr:row>27</xdr:row>
                <xdr:rowOff>0</xdr:rowOff>
              </from>
              <to>
                <xdr:col>10</xdr:col>
                <xdr:colOff>114300</xdr:colOff>
                <xdr:row>27</xdr:row>
                <xdr:rowOff>219075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2</xdr:col>
                <xdr:colOff>314325</xdr:colOff>
                <xdr:row>27</xdr:row>
                <xdr:rowOff>38100</xdr:rowOff>
              </from>
              <to>
                <xdr:col>9</xdr:col>
                <xdr:colOff>523875</xdr:colOff>
                <xdr:row>28</xdr:row>
                <xdr:rowOff>238125</xdr:rowOff>
              </to>
            </anchor>
          </objectPr>
        </oleObject>
      </mc:Choice>
      <mc:Fallback>
        <oleObject progId="Equation.3" shapeId="4098" r:id="rId5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4">
            <anchor moveWithCells="1" sizeWithCells="1">
              <from>
                <xdr:col>11</xdr:col>
                <xdr:colOff>0</xdr:colOff>
                <xdr:row>30</xdr:row>
                <xdr:rowOff>0</xdr:rowOff>
              </from>
              <to>
                <xdr:col>11</xdr:col>
                <xdr:colOff>114300</xdr:colOff>
                <xdr:row>30</xdr:row>
                <xdr:rowOff>219075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 sizeWithCells="1">
              <from>
                <xdr:col>3</xdr:col>
                <xdr:colOff>609600</xdr:colOff>
                <xdr:row>30</xdr:row>
                <xdr:rowOff>142875</xdr:rowOff>
              </from>
              <to>
                <xdr:col>10</xdr:col>
                <xdr:colOff>390525</xdr:colOff>
                <xdr:row>30</xdr:row>
                <xdr:rowOff>381000</xdr:rowOff>
              </to>
            </anchor>
          </objectPr>
        </oleObject>
      </mc:Choice>
      <mc:Fallback>
        <oleObject progId="Equation.3" shapeId="410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95A6-D680-46F1-99C4-FFEF910C4E8A}">
  <dimension ref="A1:M31"/>
  <sheetViews>
    <sheetView tabSelected="1" workbookViewId="0">
      <selection activeCell="K8" sqref="K8"/>
    </sheetView>
  </sheetViews>
  <sheetFormatPr defaultRowHeight="15" x14ac:dyDescent="0.25"/>
  <cols>
    <col min="1" max="1" width="21.140625" customWidth="1"/>
    <col min="3" max="3" width="20.7109375" bestFit="1" customWidth="1"/>
    <col min="4" max="4" width="11.140625" customWidth="1"/>
    <col min="5" max="5" width="10.85546875" customWidth="1"/>
    <col min="6" max="6" width="12.5703125" customWidth="1"/>
    <col min="7" max="7" width="18" customWidth="1"/>
    <col min="8" max="8" width="14" customWidth="1"/>
    <col min="12" max="12" width="15" customWidth="1"/>
  </cols>
  <sheetData>
    <row r="1" spans="1:13" ht="15.75" x14ac:dyDescent="0.25">
      <c r="A1" s="55" t="s">
        <v>145</v>
      </c>
    </row>
    <row r="2" spans="1:13" ht="15.75" thickBot="1" x14ac:dyDescent="0.3"/>
    <row r="3" spans="1:13" x14ac:dyDescent="0.25">
      <c r="A3" s="133" t="s">
        <v>96</v>
      </c>
      <c r="B3" s="135" t="s">
        <v>97</v>
      </c>
      <c r="C3" s="121" t="s">
        <v>98</v>
      </c>
      <c r="D3" s="138" t="s">
        <v>99</v>
      </c>
      <c r="E3" s="121"/>
      <c r="F3" s="121"/>
      <c r="G3" s="135" t="s">
        <v>100</v>
      </c>
      <c r="H3" s="135" t="s">
        <v>101</v>
      </c>
      <c r="I3" s="121" t="s">
        <v>102</v>
      </c>
      <c r="J3" s="121"/>
      <c r="K3" s="121"/>
      <c r="L3" s="122"/>
      <c r="M3" s="72"/>
    </row>
    <row r="4" spans="1:13" ht="15.75" x14ac:dyDescent="0.25">
      <c r="A4" s="134"/>
      <c r="B4" s="136"/>
      <c r="C4" s="137"/>
      <c r="D4" s="73" t="s">
        <v>103</v>
      </c>
      <c r="E4" s="74" t="s">
        <v>37</v>
      </c>
      <c r="F4" s="73" t="s">
        <v>104</v>
      </c>
      <c r="G4" s="136"/>
      <c r="H4" s="136"/>
      <c r="I4" s="73" t="s">
        <v>105</v>
      </c>
      <c r="J4" s="75" t="s">
        <v>106</v>
      </c>
      <c r="K4" s="76" t="s">
        <v>107</v>
      </c>
      <c r="L4" s="77" t="s">
        <v>108</v>
      </c>
      <c r="M4" s="72"/>
    </row>
    <row r="5" spans="1:13" ht="15.75" x14ac:dyDescent="0.25">
      <c r="A5" s="78" t="s">
        <v>109</v>
      </c>
      <c r="B5" s="79">
        <v>120</v>
      </c>
      <c r="C5" s="80" t="s">
        <v>148</v>
      </c>
      <c r="D5" s="81">
        <f>25*0.842</f>
        <v>21.05</v>
      </c>
      <c r="E5" s="82" t="e">
        <f>D5*C5/1000</f>
        <v>#VALUE!</v>
      </c>
      <c r="F5" s="81">
        <f>D5*1000/B5</f>
        <v>175.41666666666666</v>
      </c>
      <c r="G5" s="83">
        <f>8.72*0.000001*F5*B5</f>
        <v>0.183556</v>
      </c>
      <c r="H5" s="84">
        <f>1.31/(1+(I5+273)/273)</f>
        <v>0.35906626506024097</v>
      </c>
      <c r="I5" s="79">
        <v>450</v>
      </c>
      <c r="J5" s="75">
        <v>2.5</v>
      </c>
      <c r="K5" s="76">
        <v>0.2</v>
      </c>
      <c r="L5" s="85">
        <f>G5/H5</f>
        <v>0.51120369096552298</v>
      </c>
      <c r="M5" s="72"/>
    </row>
    <row r="6" spans="1:13" ht="28.5" customHeight="1" thickBot="1" x14ac:dyDescent="0.3">
      <c r="A6" s="123" t="s">
        <v>110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  <c r="M6" s="72"/>
    </row>
    <row r="7" spans="1:13" ht="15.7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72"/>
      <c r="L7" s="87"/>
      <c r="M7" s="72"/>
    </row>
    <row r="8" spans="1:13" ht="51" x14ac:dyDescent="0.25">
      <c r="A8" s="88" t="s">
        <v>61</v>
      </c>
      <c r="B8" s="88" t="s">
        <v>111</v>
      </c>
      <c r="C8" s="89" t="s">
        <v>112</v>
      </c>
      <c r="D8" s="89" t="s">
        <v>113</v>
      </c>
      <c r="E8" s="88" t="s">
        <v>114</v>
      </c>
      <c r="F8" s="88" t="s">
        <v>115</v>
      </c>
      <c r="G8" s="90"/>
      <c r="H8" s="90"/>
      <c r="I8" s="72"/>
      <c r="J8" s="72"/>
      <c r="K8" s="72"/>
      <c r="L8" s="87"/>
      <c r="M8" s="72"/>
    </row>
    <row r="9" spans="1:13" ht="15.75" x14ac:dyDescent="0.25">
      <c r="A9" s="91" t="s">
        <v>116</v>
      </c>
      <c r="B9" s="92">
        <v>2.5</v>
      </c>
      <c r="C9" s="92">
        <v>8.4</v>
      </c>
      <c r="D9" s="92">
        <v>35</v>
      </c>
      <c r="E9" s="93">
        <f>(1/G9)*C9*B5/B9*0.8</f>
        <v>8.9600000000000013E-2</v>
      </c>
      <c r="F9" s="94" t="e">
        <f>(1/H9)*D9*E5/B9*0.8</f>
        <v>#VALUE!</v>
      </c>
      <c r="G9" s="95">
        <v>3600</v>
      </c>
      <c r="H9" s="95">
        <v>1000</v>
      </c>
      <c r="I9" s="72"/>
      <c r="J9" s="72"/>
      <c r="K9" s="72"/>
      <c r="L9" s="87"/>
      <c r="M9" s="72"/>
    </row>
    <row r="10" spans="1:13" ht="15.75" x14ac:dyDescent="0.25">
      <c r="A10" s="91" t="s">
        <v>117</v>
      </c>
      <c r="B10" s="92">
        <v>2.5</v>
      </c>
      <c r="C10" s="92">
        <v>8.4</v>
      </c>
      <c r="D10" s="92">
        <v>35</v>
      </c>
      <c r="E10" s="93">
        <f>(1/G10)*C10*B5/B10*0.13</f>
        <v>1.4560000000000002E-2</v>
      </c>
      <c r="F10" s="94" t="e">
        <f>(1/H10)*D10*E5/B10*0.13</f>
        <v>#VALUE!</v>
      </c>
      <c r="G10" s="95">
        <v>3600</v>
      </c>
      <c r="H10" s="95">
        <v>1000</v>
      </c>
      <c r="I10" s="72"/>
      <c r="J10" s="72"/>
      <c r="K10" s="72"/>
      <c r="L10" s="87"/>
      <c r="M10" s="72"/>
    </row>
    <row r="11" spans="1:13" ht="15.75" x14ac:dyDescent="0.25">
      <c r="A11" s="91" t="s">
        <v>118</v>
      </c>
      <c r="B11" s="96">
        <v>3.5</v>
      </c>
      <c r="C11" s="97">
        <v>0.35</v>
      </c>
      <c r="D11" s="97">
        <v>1.5</v>
      </c>
      <c r="E11" s="93">
        <f>(1/G11)*C11*B5/B11</f>
        <v>3.3333333333333331E-3</v>
      </c>
      <c r="F11" s="94" t="e">
        <f>(1/H11)*D11*E5/B11</f>
        <v>#VALUE!</v>
      </c>
      <c r="G11" s="95">
        <v>3600</v>
      </c>
      <c r="H11" s="95">
        <v>1000</v>
      </c>
      <c r="I11" s="72"/>
      <c r="J11" s="72"/>
      <c r="K11" s="72"/>
      <c r="L11" s="87"/>
      <c r="M11" s="72"/>
    </row>
    <row r="12" spans="1:13" ht="15.75" x14ac:dyDescent="0.25">
      <c r="A12" s="91" t="s">
        <v>119</v>
      </c>
      <c r="B12" s="98"/>
      <c r="C12" s="97">
        <v>1.4</v>
      </c>
      <c r="D12" s="97">
        <v>6</v>
      </c>
      <c r="E12" s="93">
        <f>(1/G12)*C12*B5</f>
        <v>4.6666666666666662E-2</v>
      </c>
      <c r="F12" s="94" t="e">
        <f>(1/H12)*D12*E5</f>
        <v>#VALUE!</v>
      </c>
      <c r="G12" s="95">
        <v>3600</v>
      </c>
      <c r="H12" s="95">
        <v>1000</v>
      </c>
      <c r="I12" s="72"/>
      <c r="J12" s="72"/>
      <c r="K12" s="72"/>
      <c r="L12" s="87"/>
      <c r="M12" s="72"/>
    </row>
    <row r="13" spans="1:13" ht="15.75" x14ac:dyDescent="0.25">
      <c r="A13" s="91" t="s">
        <v>120</v>
      </c>
      <c r="B13" s="98">
        <v>2</v>
      </c>
      <c r="C13" s="92">
        <v>5.3</v>
      </c>
      <c r="D13" s="92">
        <v>22</v>
      </c>
      <c r="E13" s="93">
        <f>(1/G13)*C13*B5/B13</f>
        <v>8.8333333333333333E-2</v>
      </c>
      <c r="F13" s="94" t="e">
        <f>(1/H13)*D13*E5/B13</f>
        <v>#VALUE!</v>
      </c>
      <c r="G13" s="95">
        <v>3600</v>
      </c>
      <c r="H13" s="95">
        <v>1000</v>
      </c>
      <c r="I13" s="72"/>
      <c r="J13" s="72"/>
      <c r="K13" s="72"/>
      <c r="L13" s="87"/>
      <c r="M13" s="72"/>
    </row>
    <row r="14" spans="1:13" ht="15.75" x14ac:dyDescent="0.25">
      <c r="A14" s="91" t="s">
        <v>121</v>
      </c>
      <c r="B14" s="98">
        <v>3.5</v>
      </c>
      <c r="C14" s="97">
        <v>1.1E-5</v>
      </c>
      <c r="D14" s="97">
        <v>4.5000000000000003E-5</v>
      </c>
      <c r="E14" s="99">
        <f>(1/G14)*C14*B5/B14</f>
        <v>1.0476190476190476E-7</v>
      </c>
      <c r="F14" s="100" t="e">
        <f>(1/H14)*D14*E5/B14</f>
        <v>#VALUE!</v>
      </c>
      <c r="G14" s="95">
        <v>3600</v>
      </c>
      <c r="H14" s="95">
        <v>1000</v>
      </c>
      <c r="I14" s="72"/>
      <c r="J14" s="72"/>
      <c r="K14" s="72"/>
      <c r="L14" s="87"/>
      <c r="M14" s="72"/>
    </row>
    <row r="15" spans="1:13" ht="15.75" x14ac:dyDescent="0.25">
      <c r="A15" s="91" t="s">
        <v>122</v>
      </c>
      <c r="B15" s="98">
        <v>3.5</v>
      </c>
      <c r="C15" s="98">
        <v>0.1</v>
      </c>
      <c r="D15" s="98">
        <v>0.4</v>
      </c>
      <c r="E15" s="93">
        <f>(1/G15)*C15*B5/B15</f>
        <v>9.5238095238095249E-4</v>
      </c>
      <c r="F15" s="94" t="e">
        <f>(1/H15)*D15*E5/B15</f>
        <v>#VALUE!</v>
      </c>
      <c r="G15" s="95">
        <v>3600</v>
      </c>
      <c r="H15" s="95">
        <v>1000</v>
      </c>
      <c r="I15" s="72"/>
      <c r="J15" s="72"/>
      <c r="K15" s="72"/>
      <c r="L15" s="87"/>
      <c r="M15" s="72"/>
    </row>
    <row r="16" spans="1:13" ht="15.75" x14ac:dyDescent="0.25">
      <c r="A16" s="91" t="s">
        <v>123</v>
      </c>
      <c r="B16" s="98">
        <v>3.5</v>
      </c>
      <c r="C16" s="98">
        <v>2.4</v>
      </c>
      <c r="D16" s="98">
        <v>10</v>
      </c>
      <c r="E16" s="93">
        <f>(1/G16)*C16*B5/B16</f>
        <v>2.2857142857142857E-2</v>
      </c>
      <c r="F16" s="94" t="e">
        <f>(1/H16)*D16*E5/B16</f>
        <v>#VALUE!</v>
      </c>
      <c r="G16" s="95">
        <v>3600</v>
      </c>
      <c r="H16" s="95">
        <v>1000</v>
      </c>
      <c r="I16" s="72"/>
      <c r="J16" s="72"/>
      <c r="K16" s="101"/>
      <c r="L16" s="87"/>
      <c r="M16" s="72"/>
    </row>
    <row r="17" spans="1:13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</row>
    <row r="18" spans="1:13" ht="15.75" x14ac:dyDescent="0.25">
      <c r="A18" s="126" t="s">
        <v>146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</row>
    <row r="19" spans="1:13" ht="15.75" thickBot="1" x14ac:dyDescent="0.3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 x14ac:dyDescent="0.25">
      <c r="A20" s="127" t="s">
        <v>124</v>
      </c>
      <c r="B20" s="129" t="s">
        <v>99</v>
      </c>
      <c r="C20" s="129"/>
      <c r="D20" s="102" t="s">
        <v>125</v>
      </c>
      <c r="E20" s="102" t="s">
        <v>126</v>
      </c>
      <c r="F20" s="102" t="s">
        <v>127</v>
      </c>
      <c r="G20" s="129" t="s">
        <v>128</v>
      </c>
      <c r="H20" s="102" t="s">
        <v>129</v>
      </c>
      <c r="I20" s="129" t="s">
        <v>130</v>
      </c>
      <c r="J20" s="102" t="s">
        <v>131</v>
      </c>
      <c r="K20" s="102" t="s">
        <v>132</v>
      </c>
      <c r="L20" s="102" t="s">
        <v>133</v>
      </c>
      <c r="M20" s="131" t="s">
        <v>134</v>
      </c>
    </row>
    <row r="21" spans="1:13" x14ac:dyDescent="0.25">
      <c r="A21" s="128"/>
      <c r="B21" s="103" t="s">
        <v>37</v>
      </c>
      <c r="C21" s="103" t="s">
        <v>135</v>
      </c>
      <c r="D21" s="103" t="s">
        <v>136</v>
      </c>
      <c r="E21" s="103" t="s">
        <v>137</v>
      </c>
      <c r="F21" s="103" t="s">
        <v>137</v>
      </c>
      <c r="G21" s="130"/>
      <c r="H21" s="103" t="s">
        <v>138</v>
      </c>
      <c r="I21" s="130"/>
      <c r="J21" s="103" t="s">
        <v>139</v>
      </c>
      <c r="K21" s="103" t="s">
        <v>139</v>
      </c>
      <c r="L21" s="103" t="s">
        <v>37</v>
      </c>
      <c r="M21" s="132"/>
    </row>
    <row r="22" spans="1:13" ht="15.75" thickBot="1" x14ac:dyDescent="0.3">
      <c r="A22" s="104" t="s">
        <v>140</v>
      </c>
      <c r="B22" s="105" t="e">
        <f>E5</f>
        <v>#VALUE!</v>
      </c>
      <c r="C22" s="106"/>
      <c r="D22" s="107">
        <v>0.16</v>
      </c>
      <c r="E22" s="105" t="e">
        <f>B22/2</f>
        <v>#VALUE!</v>
      </c>
      <c r="F22" s="105" t="e">
        <f>B22/2</f>
        <v>#VALUE!</v>
      </c>
      <c r="G22" s="106">
        <v>1</v>
      </c>
      <c r="H22" s="106">
        <v>3.92</v>
      </c>
      <c r="I22" s="106">
        <v>0.1</v>
      </c>
      <c r="J22" s="106">
        <v>2.36</v>
      </c>
      <c r="K22" s="106">
        <v>3.15</v>
      </c>
      <c r="L22" s="106">
        <v>0.27</v>
      </c>
      <c r="M22" s="108">
        <v>2.8999999999999998E-3</v>
      </c>
    </row>
    <row r="24" spans="1:13" x14ac:dyDescent="0.25">
      <c r="A24" t="s">
        <v>141</v>
      </c>
    </row>
    <row r="26" spans="1:13" x14ac:dyDescent="0.25">
      <c r="B26" s="63" t="s">
        <v>114</v>
      </c>
      <c r="C26" s="64">
        <f>H22*I22*D22/3600</f>
        <v>1.7422222222222222E-5</v>
      </c>
    </row>
    <row r="27" spans="1:13" x14ac:dyDescent="0.25">
      <c r="B27" s="63" t="s">
        <v>142</v>
      </c>
      <c r="C27" s="65" t="e">
        <f>(J22*E22+K22*F22)*I22*0.000001+L22*M22*G22</f>
        <v>#VALUE!</v>
      </c>
    </row>
    <row r="28" spans="1:13" ht="15.75" thickBot="1" x14ac:dyDescent="0.3"/>
    <row r="29" spans="1:13" x14ac:dyDescent="0.25">
      <c r="A29" s="56" t="s">
        <v>61</v>
      </c>
      <c r="B29" s="58" t="s">
        <v>143</v>
      </c>
      <c r="C29" s="57" t="s">
        <v>114</v>
      </c>
      <c r="D29" s="59" t="s">
        <v>115</v>
      </c>
    </row>
    <row r="30" spans="1:13" x14ac:dyDescent="0.25">
      <c r="A30" s="66" t="s">
        <v>123</v>
      </c>
      <c r="B30" s="60">
        <v>99.57</v>
      </c>
      <c r="C30" s="67">
        <f>B30*C26/100</f>
        <v>1.7347306666666665E-5</v>
      </c>
      <c r="D30" s="68" t="e">
        <f>B30*C27/100</f>
        <v>#VALUE!</v>
      </c>
      <c r="J30" s="61"/>
      <c r="L30" s="61"/>
    </row>
    <row r="31" spans="1:13" ht="15.75" thickBot="1" x14ac:dyDescent="0.3">
      <c r="A31" s="69" t="s">
        <v>144</v>
      </c>
      <c r="B31" s="62">
        <v>0.28000000000000003</v>
      </c>
      <c r="C31" s="70">
        <f>B31*C26/100</f>
        <v>4.8782222222222228E-8</v>
      </c>
      <c r="D31" s="71" t="e">
        <f>B31*C27/100</f>
        <v>#VALUE!</v>
      </c>
    </row>
  </sheetData>
  <mergeCells count="14">
    <mergeCell ref="I3:L3"/>
    <mergeCell ref="A6:L6"/>
    <mergeCell ref="A18:M18"/>
    <mergeCell ref="A20:A21"/>
    <mergeCell ref="B20:C20"/>
    <mergeCell ref="G20:G21"/>
    <mergeCell ref="I20:I21"/>
    <mergeCell ref="M20:M21"/>
    <mergeCell ref="A3:A4"/>
    <mergeCell ref="B3:B4"/>
    <mergeCell ref="C3:C4"/>
    <mergeCell ref="D3:F3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котельная</vt:lpstr>
      <vt:lpstr>склад угля_золы</vt:lpstr>
      <vt:lpstr>склад золы</vt:lpstr>
      <vt:lpstr>ДГУ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2025-07-10T17:59:38Z</dcterms:modified>
</cp:coreProperties>
</file>