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hanbin\job\БиК Эколоджи\app\src\main\resources\reportTemplates\tax\"/>
    </mc:Choice>
  </mc:AlternateContent>
  <xr:revisionPtr revIDLastSave="0" documentId="13_ncr:1_{27256C06-10C0-4F2F-8E1E-2D0520D67BC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Абайская область, Кокпектинский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3" i="2"/>
  <c r="E22" i="2"/>
  <c r="E21" i="2"/>
  <c r="E20" i="2"/>
  <c r="F27" i="2"/>
  <c r="G27" i="2"/>
  <c r="H27" i="2"/>
  <c r="I27" i="2"/>
  <c r="L27" i="2"/>
  <c r="F29" i="2" l="1"/>
  <c r="G29" i="2"/>
  <c r="H29" i="2"/>
  <c r="I29" i="2"/>
  <c r="J29" i="2"/>
  <c r="L29" i="2"/>
  <c r="E29" i="2"/>
  <c r="F30" i="2"/>
  <c r="G30" i="2"/>
  <c r="H30" i="2"/>
  <c r="I30" i="2"/>
  <c r="L30" i="2"/>
  <c r="E30" i="2"/>
  <c r="H28" i="2"/>
  <c r="G28" i="2"/>
  <c r="L28" i="2" s="1"/>
  <c r="F28" i="2"/>
  <c r="I28" i="2"/>
  <c r="J28" i="2" s="1"/>
  <c r="K28" i="2" s="1"/>
  <c r="J4" i="2"/>
  <c r="J5" i="2"/>
  <c r="J6" i="2"/>
  <c r="J7" i="2"/>
  <c r="J8" i="2"/>
  <c r="J9" i="2"/>
  <c r="J10" i="2"/>
  <c r="J11" i="2"/>
  <c r="J12" i="2"/>
  <c r="J27" i="2" s="1"/>
  <c r="J13" i="2"/>
  <c r="J14" i="2"/>
  <c r="J15" i="2"/>
  <c r="J16" i="2"/>
  <c r="J17" i="2"/>
  <c r="J30" i="2" s="1"/>
  <c r="J18" i="2"/>
  <c r="J3" i="2"/>
  <c r="H11" i="2"/>
  <c r="E11" i="2"/>
  <c r="H10" i="2"/>
  <c r="L10" i="2" s="1"/>
  <c r="H12" i="2"/>
  <c r="E10" i="2"/>
  <c r="K11" i="2" l="1"/>
  <c r="L11" i="2"/>
  <c r="K10" i="2"/>
  <c r="K12" i="2" l="1"/>
  <c r="K27" i="2" s="1"/>
  <c r="E4" i="2"/>
  <c r="H18" i="2"/>
  <c r="H17" i="2"/>
  <c r="H16" i="2"/>
  <c r="H15" i="2"/>
  <c r="H14" i="2"/>
  <c r="H13" i="2"/>
  <c r="H9" i="2"/>
  <c r="H8" i="2"/>
  <c r="H7" i="2"/>
  <c r="H6" i="2"/>
  <c r="H5" i="2"/>
  <c r="H22" i="2" l="1"/>
  <c r="E8" i="2"/>
  <c r="E5" i="2"/>
  <c r="E24" i="2" s="1"/>
  <c r="E6" i="2"/>
  <c r="E7" i="2"/>
  <c r="E9" i="2"/>
  <c r="E12" i="2"/>
  <c r="E13" i="2"/>
  <c r="E14" i="2"/>
  <c r="E15" i="2"/>
  <c r="E16" i="2"/>
  <c r="E17" i="2"/>
  <c r="E18" i="2"/>
  <c r="E3" i="2"/>
  <c r="H4" i="2"/>
  <c r="H3" i="2"/>
  <c r="F22" i="2"/>
  <c r="H26" i="2" l="1"/>
  <c r="H25" i="2"/>
  <c r="H24" i="2"/>
  <c r="H23" i="2"/>
  <c r="H21" i="2"/>
  <c r="H20" i="2"/>
  <c r="F20" i="2" l="1"/>
  <c r="G24" i="2" l="1"/>
  <c r="G25" i="2"/>
  <c r="G26" i="2"/>
  <c r="K6" i="2"/>
  <c r="K5" i="2"/>
  <c r="K3" i="2"/>
  <c r="K4" i="2"/>
  <c r="K9" i="2"/>
  <c r="K8" i="2"/>
  <c r="K13" i="2"/>
  <c r="K14" i="2"/>
  <c r="K15" i="2"/>
  <c r="K16" i="2"/>
  <c r="K17" i="2"/>
  <c r="K30" i="2" s="1"/>
  <c r="K18" i="2"/>
  <c r="K29" i="2" s="1"/>
  <c r="K7" i="2"/>
  <c r="J21" i="2"/>
  <c r="J22" i="2"/>
  <c r="J23" i="2"/>
  <c r="J20" i="2"/>
  <c r="F26" i="2"/>
  <c r="G22" i="2" l="1"/>
  <c r="G21" i="2"/>
  <c r="G23" i="2"/>
  <c r="G20" i="2"/>
  <c r="L8" i="2" l="1"/>
  <c r="L12" i="2"/>
  <c r="L6" i="2"/>
  <c r="L5" i="2"/>
  <c r="L3" i="2"/>
  <c r="L4" i="2"/>
  <c r="L9" i="2"/>
  <c r="L13" i="2"/>
  <c r="L14" i="2"/>
  <c r="L15" i="2"/>
  <c r="L16" i="2"/>
  <c r="L17" i="2"/>
  <c r="L18" i="2"/>
  <c r="L7" i="2"/>
  <c r="L23" i="2" l="1"/>
  <c r="L22" i="2"/>
  <c r="L21" i="2"/>
  <c r="L20" i="2"/>
  <c r="L26" i="2"/>
  <c r="F25" i="2"/>
  <c r="F24" i="2"/>
  <c r="F23" i="2"/>
  <c r="F21" i="2"/>
  <c r="L25" i="2" l="1"/>
  <c r="L24" i="2"/>
  <c r="K20" i="2" l="1"/>
  <c r="K21" i="2"/>
  <c r="K22" i="2"/>
  <c r="K23" i="2"/>
  <c r="I24" i="2"/>
  <c r="J24" i="2" s="1"/>
  <c r="K24" i="2" s="1"/>
  <c r="I25" i="2"/>
  <c r="J25" i="2" s="1"/>
  <c r="K25" i="2" s="1"/>
  <c r="I26" i="2"/>
  <c r="J26" i="2" s="1"/>
  <c r="K26" i="2" s="1"/>
  <c r="K31" i="2" l="1"/>
  <c r="M20" i="2"/>
</calcChain>
</file>

<file path=xl/sharedStrings.xml><?xml version="1.0" encoding="utf-8"?>
<sst xmlns="http://schemas.openxmlformats.org/spreadsheetml/2006/main" count="100" uniqueCount="62">
  <si>
    <t>Бенз/а/пирен (кг)</t>
  </si>
  <si>
    <t>Азота (IV) диоксид</t>
  </si>
  <si>
    <t>Итого</t>
  </si>
  <si>
    <t>Пыль неорганическая, содержащая двуокись кремния в %:70-20</t>
  </si>
  <si>
    <t>2754</t>
  </si>
  <si>
    <t>0330</t>
  </si>
  <si>
    <t>0337</t>
  </si>
  <si>
    <t>0304</t>
  </si>
  <si>
    <t>0301</t>
  </si>
  <si>
    <t>0703</t>
  </si>
  <si>
    <t>1325</t>
  </si>
  <si>
    <t>0328</t>
  </si>
  <si>
    <t>т/год</t>
  </si>
  <si>
    <t>г/с</t>
  </si>
  <si>
    <t>Наименование  веществ</t>
  </si>
  <si>
    <t>Код вещества</t>
  </si>
  <si>
    <t xml:space="preserve">Наименование источников выделения загрязняющих веществ </t>
  </si>
  <si>
    <r>
      <rPr>
        <sz val="10"/>
        <rFont val="Times New Roman"/>
        <family val="1"/>
      </rPr>
      <t>Сера диоксид</t>
    </r>
  </si>
  <si>
    <r>
      <rPr>
        <sz val="10"/>
        <rFont val="Times New Roman"/>
        <family val="1"/>
      </rPr>
      <t>Азот (II) оксид</t>
    </r>
  </si>
  <si>
    <r>
      <rPr>
        <sz val="10"/>
        <rFont val="Times New Roman"/>
        <family val="1"/>
      </rPr>
      <t>Формальдегид</t>
    </r>
  </si>
  <si>
    <t>пыль менее 20</t>
  </si>
  <si>
    <t>Пыль 20-80%</t>
  </si>
  <si>
    <t>2908</t>
  </si>
  <si>
    <t>2909</t>
  </si>
  <si>
    <t>Углерод оксид</t>
  </si>
  <si>
    <t>Алканы С12-19/в пересчете на С/</t>
  </si>
  <si>
    <t>Сера диоксид</t>
  </si>
  <si>
    <t>Углерод</t>
  </si>
  <si>
    <t>Азот (II) оксид</t>
  </si>
  <si>
    <t>Формальдегид</t>
  </si>
  <si>
    <t>Бенз/а/пирен</t>
  </si>
  <si>
    <t>Cepa диоксид</t>
  </si>
  <si>
    <t>Пыль неорганическая, содержащая двуокись кремния в %: менее 20</t>
  </si>
  <si>
    <t>Расход ДТ (тонн/год)</t>
  </si>
  <si>
    <t>Расход угля (тонн/год)</t>
  </si>
  <si>
    <t>Ставка (МРП)</t>
  </si>
  <si>
    <t>Ставка (тенге)</t>
  </si>
  <si>
    <t>Сумма платы (тенге)</t>
  </si>
  <si>
    <t>Остаток лимита на начало квартала (т/год)</t>
  </si>
  <si>
    <t>Лимит выбросов загрязняющих веществ в атмосферу</t>
  </si>
  <si>
    <t>Фактически за квартал (т/год)</t>
  </si>
  <si>
    <t>{coalConsumption}</t>
  </si>
  <si>
    <t>{dieselFuelConsumption}</t>
  </si>
  <si>
    <t>Инвентаризационный номер источников выбросов</t>
  </si>
  <si>
    <t>ДГУ</t>
  </si>
  <si>
    <t>0001</t>
  </si>
  <si>
    <t>Отопительный котел</t>
  </si>
  <si>
    <t>0002</t>
  </si>
  <si>
    <t>6001</t>
  </si>
  <si>
    <t>Склад угля</t>
  </si>
  <si>
    <t>Остаток лимита на конец квартала (т/год)</t>
  </si>
  <si>
    <t>Квартал</t>
  </si>
  <si>
    <t>Год</t>
  </si>
  <si>
    <t>{quarter}</t>
  </si>
  <si>
    <t>{year}</t>
  </si>
  <si>
    <t>Абайская область, Аягозский район, Баршатасский с.о., с. Баршатас Абылайхана 12</t>
  </si>
  <si>
    <t>0333</t>
  </si>
  <si>
    <t>Резервуар</t>
  </si>
  <si>
    <t>Сероводород</t>
  </si>
  <si>
    <t>0003</t>
  </si>
  <si>
    <t>МРП</t>
  </si>
  <si>
    <t>{MCI}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</si>
</sst>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"/>
    <numFmt numFmtId="165" formatCode="0.0000"/>
    <numFmt numFmtId="166" formatCode="#,##0.00000"/>
    <numFmt numFmtId="167" formatCode="#,##0.000000"/>
    <numFmt numFmtId="168" formatCode="#,##0.0000000000"/>
    <numFmt numFmtId="169" formatCode="0.000000"/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000000"/>
      <name val="Times New Roman"/>
      <family val="2"/>
    </font>
    <font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FF0000"/>
      <name val="Times New Roman"/>
      <family val="1"/>
      <charset val="204"/>
    </font>
    <font>
      <sz val="10"/>
      <name val="Arial Cyr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4" fillId="0" borderId="0"/>
  </cellStyleXfs>
  <cellXfs count="79">
    <xf numFmtId="0" fontId="0" fillId="0" borderId="0" xfId="0"/>
    <xf numFmtId="0" fontId="2" fillId="0" borderId="0" xfId="1"/>
    <xf numFmtId="0" fontId="3" fillId="0" borderId="0" xfId="1" applyFont="1"/>
    <xf numFmtId="164" fontId="3" fillId="0" borderId="0" xfId="1" applyNumberFormat="1" applyFont="1"/>
    <xf numFmtId="0" fontId="4" fillId="0" borderId="0" xfId="1" applyFont="1"/>
    <xf numFmtId="0" fontId="3" fillId="0" borderId="0" xfId="1" applyFont="1" applyAlignment="1">
      <alignment horizontal="center"/>
    </xf>
    <xf numFmtId="0" fontId="10" fillId="0" borderId="0" xfId="0" applyFont="1" applyAlignment="1">
      <alignment horizontal="left" vertical="center"/>
    </xf>
    <xf numFmtId="165" fontId="2" fillId="0" borderId="0" xfId="1" applyNumberFormat="1"/>
    <xf numFmtId="164" fontId="2" fillId="0" borderId="0" xfId="1" applyNumberFormat="1"/>
    <xf numFmtId="165" fontId="7" fillId="0" borderId="0" xfId="1" applyNumberFormat="1" applyFont="1" applyAlignment="1">
      <alignment horizontal="center" vertical="top" shrinkToFit="1"/>
    </xf>
    <xf numFmtId="0" fontId="1" fillId="0" borderId="0" xfId="1" applyFont="1"/>
    <xf numFmtId="0" fontId="9" fillId="0" borderId="0" xfId="0" applyFont="1" applyAlignment="1">
      <alignment horizontal="left" vertical="center"/>
    </xf>
    <xf numFmtId="166" fontId="14" fillId="0" borderId="0" xfId="3" applyNumberFormat="1" applyBorder="1" applyAlignment="1">
      <alignment horizontal="center" vertical="center" wrapText="1"/>
    </xf>
    <xf numFmtId="168" fontId="14" fillId="0" borderId="0" xfId="3" applyNumberForma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2" fontId="15" fillId="0" borderId="1" xfId="1" applyNumberFormat="1" applyFont="1" applyBorder="1"/>
    <xf numFmtId="169" fontId="6" fillId="0" borderId="1" xfId="1" applyNumberFormat="1" applyFont="1" applyBorder="1" applyAlignment="1">
      <alignment horizontal="center"/>
    </xf>
    <xf numFmtId="169" fontId="3" fillId="0" borderId="0" xfId="1" applyNumberFormat="1" applyFont="1"/>
    <xf numFmtId="169" fontId="2" fillId="0" borderId="0" xfId="1" applyNumberFormat="1"/>
    <xf numFmtId="167" fontId="3" fillId="0" borderId="0" xfId="1" applyNumberFormat="1" applyFont="1"/>
    <xf numFmtId="167" fontId="2" fillId="0" borderId="0" xfId="1" applyNumberFormat="1"/>
    <xf numFmtId="170" fontId="2" fillId="0" borderId="0" xfId="1" applyNumberFormat="1"/>
    <xf numFmtId="167" fontId="6" fillId="0" borderId="1" xfId="1" applyNumberFormat="1" applyFont="1" applyBorder="1" applyAlignment="1">
      <alignment horizontal="center" vertical="center" wrapText="1"/>
    </xf>
    <xf numFmtId="167" fontId="6" fillId="2" borderId="1" xfId="1" applyNumberFormat="1" applyFont="1" applyFill="1" applyBorder="1" applyAlignment="1">
      <alignment horizontal="center" vertical="center" wrapText="1"/>
    </xf>
    <xf numFmtId="169" fontId="7" fillId="0" borderId="1" xfId="1" applyNumberFormat="1" applyFont="1" applyBorder="1" applyAlignment="1">
      <alignment horizontal="left" vertical="top" shrinkToFit="1"/>
    </xf>
    <xf numFmtId="167" fontId="3" fillId="0" borderId="1" xfId="1" applyNumberFormat="1" applyFont="1" applyBorder="1" applyAlignment="1">
      <alignment horizontal="left"/>
    </xf>
    <xf numFmtId="169" fontId="3" fillId="0" borderId="1" xfId="1" applyNumberFormat="1" applyFont="1" applyBorder="1" applyAlignment="1">
      <alignment horizontal="left"/>
    </xf>
    <xf numFmtId="167" fontId="7" fillId="0" borderId="1" xfId="1" applyNumberFormat="1" applyFont="1" applyBorder="1" applyAlignment="1">
      <alignment horizontal="left" vertical="top" shrinkToFit="1"/>
    </xf>
    <xf numFmtId="49" fontId="11" fillId="0" borderId="4" xfId="1" applyNumberFormat="1" applyFont="1" applyBorder="1" applyAlignment="1">
      <alignment horizontal="left" vertical="center"/>
    </xf>
    <xf numFmtId="169" fontId="7" fillId="0" borderId="1" xfId="1" applyNumberFormat="1" applyFont="1" applyBorder="1" applyAlignment="1">
      <alignment horizontal="left" vertical="center" shrinkToFit="1"/>
    </xf>
    <xf numFmtId="167" fontId="3" fillId="0" borderId="2" xfId="1" applyNumberFormat="1" applyFont="1" applyBorder="1" applyAlignment="1">
      <alignment horizontal="left" vertical="center"/>
    </xf>
    <xf numFmtId="167" fontId="3" fillId="0" borderId="1" xfId="1" applyNumberFormat="1" applyFont="1" applyBorder="1" applyAlignment="1">
      <alignment horizontal="left" vertical="center"/>
    </xf>
    <xf numFmtId="169" fontId="3" fillId="0" borderId="1" xfId="1" applyNumberFormat="1" applyFont="1" applyBorder="1" applyAlignment="1">
      <alignment horizontal="left" vertical="center"/>
    </xf>
    <xf numFmtId="49" fontId="11" fillId="0" borderId="6" xfId="1" applyNumberFormat="1" applyFont="1" applyBorder="1" applyAlignment="1">
      <alignment horizontal="left" vertical="center"/>
    </xf>
    <xf numFmtId="49" fontId="11" fillId="0" borderId="2" xfId="1" applyNumberFormat="1" applyFont="1" applyBorder="1" applyAlignment="1">
      <alignment horizontal="left" vertical="center"/>
    </xf>
    <xf numFmtId="169" fontId="6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1" applyNumberFormat="1" applyBorder="1"/>
    <xf numFmtId="49" fontId="2" fillId="0" borderId="0" xfId="1" applyNumberFormat="1"/>
    <xf numFmtId="49" fontId="1" fillId="0" borderId="1" xfId="1" applyNumberFormat="1" applyFont="1" applyBorder="1"/>
    <xf numFmtId="49" fontId="7" fillId="0" borderId="1" xfId="1" applyNumberFormat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horizontal="left" vertical="top"/>
    </xf>
    <xf numFmtId="49" fontId="4" fillId="0" borderId="1" xfId="1" applyNumberFormat="1" applyFont="1" applyBorder="1" applyAlignment="1">
      <alignment horizontal="left" vertical="top"/>
    </xf>
    <xf numFmtId="49" fontId="3" fillId="0" borderId="0" xfId="1" applyNumberFormat="1" applyFont="1" applyAlignment="1"/>
    <xf numFmtId="49" fontId="2" fillId="0" borderId="0" xfId="1" applyNumberFormat="1" applyAlignment="1"/>
    <xf numFmtId="2" fontId="6" fillId="2" borderId="1" xfId="1" applyNumberFormat="1" applyFont="1" applyFill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left" vertical="center"/>
    </xf>
    <xf numFmtId="2" fontId="7" fillId="0" borderId="1" xfId="1" applyNumberFormat="1" applyFont="1" applyBorder="1" applyAlignment="1">
      <alignment horizontal="left" vertical="top" shrinkToFit="1"/>
    </xf>
    <xf numFmtId="2" fontId="3" fillId="0" borderId="0" xfId="1" applyNumberFormat="1" applyFont="1"/>
    <xf numFmtId="2" fontId="2" fillId="0" borderId="0" xfId="1" applyNumberFormat="1"/>
    <xf numFmtId="2" fontId="8" fillId="0" borderId="1" xfId="1" applyNumberFormat="1" applyFont="1" applyBorder="1" applyAlignment="1">
      <alignment horizontal="left" vertical="center"/>
    </xf>
    <xf numFmtId="2" fontId="3" fillId="0" borderId="1" xfId="1" applyNumberFormat="1" applyFont="1" applyBorder="1" applyAlignment="1">
      <alignment horizontal="left"/>
    </xf>
    <xf numFmtId="0" fontId="16" fillId="0" borderId="1" xfId="1" applyFont="1" applyBorder="1"/>
    <xf numFmtId="0" fontId="17" fillId="0" borderId="1" xfId="0" applyFont="1" applyBorder="1" applyAlignment="1">
      <alignment horizontal="left" vertical="center"/>
    </xf>
    <xf numFmtId="170" fontId="6" fillId="2" borderId="1" xfId="1" applyNumberFormat="1" applyFont="1" applyFill="1" applyBorder="1" applyAlignment="1">
      <alignment horizontal="center" vertical="center" wrapText="1"/>
    </xf>
    <xf numFmtId="170" fontId="3" fillId="0" borderId="1" xfId="1" applyNumberFormat="1" applyFont="1" applyBorder="1" applyAlignment="1">
      <alignment horizontal="left" vertical="center"/>
    </xf>
    <xf numFmtId="170" fontId="3" fillId="0" borderId="1" xfId="1" applyNumberFormat="1" applyFont="1" applyBorder="1" applyAlignment="1">
      <alignment horizontal="left"/>
    </xf>
    <xf numFmtId="170" fontId="5" fillId="0" borderId="0" xfId="1" applyNumberFormat="1" applyFont="1"/>
    <xf numFmtId="49" fontId="4" fillId="2" borderId="2" xfId="1" applyNumberFormat="1" applyFont="1" applyFill="1" applyBorder="1" applyAlignment="1">
      <alignment horizontal="center" vertical="top"/>
    </xf>
    <xf numFmtId="49" fontId="4" fillId="2" borderId="4" xfId="1" applyNumberFormat="1" applyFont="1" applyFill="1" applyBorder="1" applyAlignment="1">
      <alignment horizontal="center" vertical="top"/>
    </xf>
    <xf numFmtId="49" fontId="4" fillId="2" borderId="3" xfId="1" applyNumberFormat="1" applyFont="1" applyFill="1" applyBorder="1" applyAlignment="1">
      <alignment horizontal="center" vertical="top"/>
    </xf>
    <xf numFmtId="0" fontId="6" fillId="0" borderId="5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8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49" fontId="6" fillId="0" borderId="7" xfId="1" applyNumberFormat="1" applyFont="1" applyBorder="1" applyAlignment="1">
      <alignment horizontal="center" vertical="center" wrapText="1"/>
    </xf>
    <xf numFmtId="167" fontId="13" fillId="0" borderId="2" xfId="1" applyNumberFormat="1" applyFont="1" applyBorder="1" applyAlignment="1">
      <alignment horizontal="center"/>
    </xf>
    <xf numFmtId="167" fontId="13" fillId="0" borderId="4" xfId="1" applyNumberFormat="1" applyFont="1" applyBorder="1" applyAlignment="1">
      <alignment horizontal="center"/>
    </xf>
    <xf numFmtId="167" fontId="13" fillId="0" borderId="3" xfId="1" applyNumberFormat="1" applyFont="1" applyBorder="1" applyAlignment="1">
      <alignment horizontal="center"/>
    </xf>
    <xf numFmtId="169" fontId="6" fillId="0" borderId="2" xfId="1" applyNumberFormat="1" applyFont="1" applyBorder="1" applyAlignment="1">
      <alignment horizontal="center" vertical="center" wrapText="1"/>
    </xf>
    <xf numFmtId="169" fontId="6" fillId="0" borderId="3" xfId="1" applyNumberFormat="1" applyFont="1" applyBorder="1" applyAlignment="1">
      <alignment horizontal="center" vertical="center" wrapText="1"/>
    </xf>
    <xf numFmtId="0" fontId="16" fillId="0" borderId="0" xfId="0" applyFont="1"/>
    <xf numFmtId="0" fontId="16" fillId="0" borderId="1" xfId="0" applyFont="1" applyBorder="1"/>
    <xf numFmtId="0" fontId="18" fillId="0" borderId="1" xfId="1" applyFont="1" applyBorder="1"/>
  </cellXfs>
  <cellStyles count="4">
    <cellStyle name="Normal" xfId="0" builtinId="0"/>
    <cellStyle name="Обычный 11" xfId="2" xr:uid="{1E40280D-6258-4FA9-85FD-1FEA7881E62A}"/>
    <cellStyle name="Обычный 2" xfId="1" xr:uid="{56F2DE67-1E4C-4FE9-970F-57D8D5DB43A9}"/>
    <cellStyle name="Обычный_расчет ЗВ1" xfId="3" xr:uid="{E0CE66F3-2E1F-4A38-B758-16BA5A547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C671-FC3F-4C61-9FD5-7C143D7FB1CD}">
  <sheetPr>
    <tabColor rgb="FFFFFF00"/>
  </sheetPr>
  <dimension ref="A1:S41"/>
  <sheetViews>
    <sheetView tabSelected="1" zoomScale="126" zoomScaleNormal="140" workbookViewId="0">
      <selection activeCell="O11" sqref="O11"/>
    </sheetView>
  </sheetViews>
  <sheetFormatPr defaultRowHeight="15" x14ac:dyDescent="0.25"/>
  <cols>
    <col min="1" max="1" width="10.28515625" style="40" bestFit="1" customWidth="1"/>
    <col min="2" max="2" width="22.42578125" style="1" bestFit="1" customWidth="1"/>
    <col min="3" max="3" width="15" style="1" customWidth="1"/>
    <col min="4" max="4" width="20.7109375" style="48" customWidth="1"/>
    <col min="5" max="5" width="11.140625" style="20" bestFit="1" customWidth="1"/>
    <col min="6" max="6" width="14" style="22" bestFit="1" customWidth="1"/>
    <col min="7" max="7" width="15.5703125" style="20" customWidth="1"/>
    <col min="8" max="8" width="14.28515625" style="23" bestFit="1" customWidth="1"/>
    <col min="9" max="9" width="12.28515625" style="53" customWidth="1"/>
    <col min="10" max="10" width="13.85546875" style="53" customWidth="1"/>
    <col min="11" max="11" width="15.5703125" style="23" customWidth="1"/>
    <col min="12" max="12" width="20.140625" style="1" customWidth="1"/>
    <col min="13" max="13" width="18.7109375" style="1" customWidth="1"/>
    <col min="14" max="14" width="11.7109375" style="1" customWidth="1"/>
    <col min="15" max="16384" width="9.140625" style="1"/>
  </cols>
  <sheetData>
    <row r="1" spans="1:19" ht="63.75" customHeight="1" x14ac:dyDescent="0.25">
      <c r="A1" s="69" t="s">
        <v>43</v>
      </c>
      <c r="B1" s="65" t="s">
        <v>16</v>
      </c>
      <c r="C1" s="67" t="s">
        <v>15</v>
      </c>
      <c r="D1" s="70" t="s">
        <v>14</v>
      </c>
      <c r="E1" s="74" t="s">
        <v>39</v>
      </c>
      <c r="F1" s="75"/>
      <c r="G1" s="24" t="s">
        <v>38</v>
      </c>
      <c r="H1" s="37" t="s">
        <v>40</v>
      </c>
      <c r="I1" s="49" t="s">
        <v>35</v>
      </c>
      <c r="J1" s="49" t="s">
        <v>36</v>
      </c>
      <c r="K1" s="58" t="s">
        <v>37</v>
      </c>
      <c r="L1" s="25" t="s">
        <v>50</v>
      </c>
      <c r="M1"/>
      <c r="N1"/>
      <c r="O1" s="38"/>
      <c r="P1" s="38"/>
      <c r="Q1" s="38"/>
      <c r="R1" s="38"/>
      <c r="S1" s="38"/>
    </row>
    <row r="2" spans="1:19" x14ac:dyDescent="0.25">
      <c r="A2" s="69"/>
      <c r="B2" s="66"/>
      <c r="C2" s="68"/>
      <c r="D2" s="68"/>
      <c r="E2" s="18" t="s">
        <v>13</v>
      </c>
      <c r="F2" s="18" t="s">
        <v>12</v>
      </c>
      <c r="G2" s="71" t="s">
        <v>55</v>
      </c>
      <c r="H2" s="72"/>
      <c r="I2" s="72"/>
      <c r="J2" s="72"/>
      <c r="K2" s="72"/>
      <c r="L2" s="73"/>
      <c r="M2"/>
      <c r="N2"/>
      <c r="O2" s="6"/>
      <c r="P2" s="6"/>
      <c r="Q2" s="6"/>
      <c r="R2" s="6"/>
      <c r="S2" s="6"/>
    </row>
    <row r="3" spans="1:19" x14ac:dyDescent="0.25">
      <c r="A3" s="41" t="s">
        <v>45</v>
      </c>
      <c r="B3" s="16" t="s">
        <v>44</v>
      </c>
      <c r="C3" s="30" t="s">
        <v>8</v>
      </c>
      <c r="D3" s="42" t="s">
        <v>1</v>
      </c>
      <c r="E3" s="31">
        <f>(F3*1000*1000)/365/24/60/60</f>
        <v>0</v>
      </c>
      <c r="F3" s="31"/>
      <c r="G3" s="32"/>
      <c r="H3" s="34" t="e">
        <f>(1/1000)*35*O4/2.5*0.8</f>
        <v>#VALUE!</v>
      </c>
      <c r="I3" s="54">
        <v>20</v>
      </c>
      <c r="J3" s="50" t="e">
        <f>I3*$O$10</f>
        <v>#VALUE!</v>
      </c>
      <c r="K3" s="59" t="e">
        <f>ROUND(H3*J3,3)</f>
        <v>#VALUE!</v>
      </c>
      <c r="L3" s="33" t="e">
        <f t="shared" ref="L3:L11" si="0">G3-H3</f>
        <v>#VALUE!</v>
      </c>
      <c r="M3"/>
      <c r="P3" s="6"/>
      <c r="Q3" s="6"/>
      <c r="R3" s="6"/>
      <c r="S3" s="6"/>
    </row>
    <row r="4" spans="1:19" x14ac:dyDescent="0.25">
      <c r="A4" s="39" t="s">
        <v>45</v>
      </c>
      <c r="B4" s="16" t="s">
        <v>44</v>
      </c>
      <c r="C4" s="30" t="s">
        <v>7</v>
      </c>
      <c r="D4" s="43" t="s">
        <v>28</v>
      </c>
      <c r="E4" s="31">
        <f>(F4*1000*1000)/365/24/60/60</f>
        <v>0</v>
      </c>
      <c r="F4" s="34"/>
      <c r="G4" s="32"/>
      <c r="H4" s="34" t="e">
        <f>(1/1000)*35*O4/2.5*0.13</f>
        <v>#VALUE!</v>
      </c>
      <c r="I4" s="54">
        <v>20</v>
      </c>
      <c r="J4" s="50" t="e">
        <f t="shared" ref="J4:J18" si="1">I4*$O$10</f>
        <v>#VALUE!</v>
      </c>
      <c r="K4" s="59" t="e">
        <f t="shared" ref="K4:K18" si="2">ROUND(H4*J4,3)</f>
        <v>#VALUE!</v>
      </c>
      <c r="L4" s="33" t="e">
        <f t="shared" si="0"/>
        <v>#VALUE!</v>
      </c>
      <c r="M4" s="12"/>
      <c r="N4" s="15" t="s">
        <v>33</v>
      </c>
      <c r="O4" s="17" t="s">
        <v>41</v>
      </c>
      <c r="P4" s="6"/>
      <c r="Q4" s="6"/>
      <c r="R4" s="6"/>
      <c r="S4" s="6"/>
    </row>
    <row r="5" spans="1:19" x14ac:dyDescent="0.25">
      <c r="A5" s="39" t="s">
        <v>45</v>
      </c>
      <c r="B5" s="16" t="s">
        <v>44</v>
      </c>
      <c r="C5" s="30" t="s">
        <v>11</v>
      </c>
      <c r="D5" s="43" t="s">
        <v>27</v>
      </c>
      <c r="E5" s="31">
        <f t="shared" ref="E5:E18" si="3">(F5*1000*1000)/365/24/60/60</f>
        <v>0</v>
      </c>
      <c r="F5" s="34"/>
      <c r="G5" s="32"/>
      <c r="H5" s="34" t="e">
        <f>(1/1000)*1.5*O4/3.5</f>
        <v>#VALUE!</v>
      </c>
      <c r="I5" s="54">
        <v>24</v>
      </c>
      <c r="J5" s="50" t="e">
        <f t="shared" si="1"/>
        <v>#VALUE!</v>
      </c>
      <c r="K5" s="59" t="e">
        <f t="shared" si="2"/>
        <v>#VALUE!</v>
      </c>
      <c r="L5" s="33" t="e">
        <f t="shared" si="0"/>
        <v>#VALUE!</v>
      </c>
      <c r="M5" s="12"/>
      <c r="N5" s="15" t="s">
        <v>34</v>
      </c>
      <c r="O5" s="17" t="s">
        <v>42</v>
      </c>
      <c r="P5" s="6"/>
      <c r="Q5" s="6"/>
      <c r="R5" s="6"/>
      <c r="S5" s="6"/>
    </row>
    <row r="6" spans="1:19" x14ac:dyDescent="0.25">
      <c r="A6" s="39" t="s">
        <v>45</v>
      </c>
      <c r="B6" s="16" t="s">
        <v>44</v>
      </c>
      <c r="C6" s="30" t="s">
        <v>5</v>
      </c>
      <c r="D6" s="43" t="s">
        <v>26</v>
      </c>
      <c r="E6" s="31">
        <f t="shared" si="3"/>
        <v>0</v>
      </c>
      <c r="F6" s="34"/>
      <c r="G6" s="32"/>
      <c r="H6" s="34" t="e">
        <f>(1/1000)*6*O4</f>
        <v>#VALUE!</v>
      </c>
      <c r="I6" s="50">
        <v>20</v>
      </c>
      <c r="J6" s="50" t="e">
        <f t="shared" si="1"/>
        <v>#VALUE!</v>
      </c>
      <c r="K6" s="59" t="e">
        <f t="shared" si="2"/>
        <v>#VALUE!</v>
      </c>
      <c r="L6" s="33" t="e">
        <f t="shared" si="0"/>
        <v>#VALUE!</v>
      </c>
      <c r="M6" s="12"/>
      <c r="N6" s="10"/>
      <c r="O6" s="6"/>
      <c r="P6" s="6"/>
      <c r="Q6" s="6"/>
      <c r="R6" s="6"/>
      <c r="S6" s="6"/>
    </row>
    <row r="7" spans="1:19" x14ac:dyDescent="0.25">
      <c r="A7" s="39" t="s">
        <v>45</v>
      </c>
      <c r="B7" s="16" t="s">
        <v>44</v>
      </c>
      <c r="C7" s="30" t="s">
        <v>6</v>
      </c>
      <c r="D7" s="43" t="s">
        <v>24</v>
      </c>
      <c r="E7" s="31">
        <f t="shared" si="3"/>
        <v>0</v>
      </c>
      <c r="F7" s="34"/>
      <c r="G7" s="32"/>
      <c r="H7" s="34" t="e">
        <f>(1/1000)*22*O4/2</f>
        <v>#VALUE!</v>
      </c>
      <c r="I7" s="50">
        <v>0.32</v>
      </c>
      <c r="J7" s="50" t="e">
        <f t="shared" si="1"/>
        <v>#VALUE!</v>
      </c>
      <c r="K7" s="59" t="e">
        <f t="shared" si="2"/>
        <v>#VALUE!</v>
      </c>
      <c r="L7" s="33" t="e">
        <f t="shared" si="0"/>
        <v>#VALUE!</v>
      </c>
      <c r="M7" s="12"/>
      <c r="N7" s="56" t="s">
        <v>51</v>
      </c>
      <c r="O7" s="57" t="s">
        <v>53</v>
      </c>
      <c r="P7" s="14"/>
      <c r="Q7" s="14"/>
      <c r="R7" s="14"/>
      <c r="S7" s="14"/>
    </row>
    <row r="8" spans="1:19" x14ac:dyDescent="0.25">
      <c r="A8" s="39" t="s">
        <v>45</v>
      </c>
      <c r="B8" s="16" t="s">
        <v>44</v>
      </c>
      <c r="C8" s="30" t="s">
        <v>9</v>
      </c>
      <c r="D8" s="43" t="s">
        <v>30</v>
      </c>
      <c r="E8" s="31">
        <f>(F8*1000*1000)/365/24/60/60</f>
        <v>0</v>
      </c>
      <c r="F8" s="34"/>
      <c r="G8" s="32"/>
      <c r="H8" s="34" t="e">
        <f>(1/1000)*35*O4/2.5*0.13</f>
        <v>#VALUE!</v>
      </c>
      <c r="I8" s="54">
        <v>996600</v>
      </c>
      <c r="J8" s="50" t="e">
        <f t="shared" si="1"/>
        <v>#VALUE!</v>
      </c>
      <c r="K8" s="59" t="e">
        <f t="shared" si="2"/>
        <v>#VALUE!</v>
      </c>
      <c r="L8" s="33" t="e">
        <f t="shared" si="0"/>
        <v>#VALUE!</v>
      </c>
      <c r="M8" s="13"/>
      <c r="N8" s="56" t="s">
        <v>52</v>
      </c>
      <c r="O8" s="57" t="s">
        <v>54</v>
      </c>
      <c r="P8" s="11"/>
      <c r="Q8" s="11"/>
      <c r="R8" s="11"/>
      <c r="S8" s="11"/>
    </row>
    <row r="9" spans="1:19" x14ac:dyDescent="0.25">
      <c r="A9" s="39" t="s">
        <v>45</v>
      </c>
      <c r="B9" s="16" t="s">
        <v>44</v>
      </c>
      <c r="C9" s="30" t="s">
        <v>10</v>
      </c>
      <c r="D9" s="43" t="s">
        <v>29</v>
      </c>
      <c r="E9" s="31">
        <f t="shared" si="3"/>
        <v>0</v>
      </c>
      <c r="F9" s="34"/>
      <c r="G9" s="32"/>
      <c r="H9" s="34" t="e">
        <f>(1/1000)*0.4*O4/3.5</f>
        <v>#VALUE!</v>
      </c>
      <c r="I9" s="54">
        <v>332</v>
      </c>
      <c r="J9" s="50" t="e">
        <f t="shared" si="1"/>
        <v>#VALUE!</v>
      </c>
      <c r="K9" s="59" t="e">
        <f t="shared" si="2"/>
        <v>#VALUE!</v>
      </c>
      <c r="L9" s="33" t="e">
        <f t="shared" si="0"/>
        <v>#VALUE!</v>
      </c>
      <c r="M9" s="12"/>
      <c r="O9" s="11"/>
      <c r="P9" s="11"/>
      <c r="Q9" s="11"/>
      <c r="R9" s="11"/>
      <c r="S9" s="11"/>
    </row>
    <row r="10" spans="1:19" x14ac:dyDescent="0.25">
      <c r="A10" s="39" t="s">
        <v>45</v>
      </c>
      <c r="B10" s="16" t="s">
        <v>44</v>
      </c>
      <c r="C10" s="30" t="s">
        <v>4</v>
      </c>
      <c r="D10" s="44" t="s">
        <v>25</v>
      </c>
      <c r="E10" s="31">
        <f t="shared" ref="E10:E11" si="4">(F10*1000*1000)/365/24/60/60</f>
        <v>0</v>
      </c>
      <c r="F10" s="31"/>
      <c r="G10" s="32"/>
      <c r="H10" s="34" t="e">
        <f>(1/1000)*10*O4/3.5</f>
        <v>#VALUE!</v>
      </c>
      <c r="I10" s="50">
        <v>0.32</v>
      </c>
      <c r="J10" s="50" t="e">
        <f t="shared" si="1"/>
        <v>#VALUE!</v>
      </c>
      <c r="K10" s="59" t="e">
        <f t="shared" ref="K10:K11" si="5">ROUND(H10*J10,3)</f>
        <v>#VALUE!</v>
      </c>
      <c r="L10" s="33" t="e">
        <f t="shared" si="0"/>
        <v>#VALUE!</v>
      </c>
      <c r="M10" s="76"/>
      <c r="N10" s="77" t="s">
        <v>60</v>
      </c>
      <c r="O10" s="78" t="s">
        <v>61</v>
      </c>
    </row>
    <row r="11" spans="1:19" x14ac:dyDescent="0.25">
      <c r="A11" s="41" t="s">
        <v>47</v>
      </c>
      <c r="B11" s="16" t="s">
        <v>57</v>
      </c>
      <c r="C11" s="30" t="s">
        <v>56</v>
      </c>
      <c r="D11" s="44" t="s">
        <v>58</v>
      </c>
      <c r="E11" s="31">
        <f t="shared" si="4"/>
        <v>0</v>
      </c>
      <c r="F11" s="31"/>
      <c r="G11" s="32"/>
      <c r="H11" s="34">
        <f>777</f>
        <v>777</v>
      </c>
      <c r="I11" s="50">
        <v>124</v>
      </c>
      <c r="J11" s="50" t="e">
        <f t="shared" si="1"/>
        <v>#VALUE!</v>
      </c>
      <c r="K11" s="59" t="e">
        <f t="shared" si="5"/>
        <v>#VALUE!</v>
      </c>
      <c r="L11" s="33">
        <f t="shared" si="0"/>
        <v>-777</v>
      </c>
      <c r="M11"/>
      <c r="N11"/>
    </row>
    <row r="12" spans="1:19" x14ac:dyDescent="0.25">
      <c r="A12" s="41" t="s">
        <v>47</v>
      </c>
      <c r="B12" s="16" t="s">
        <v>57</v>
      </c>
      <c r="C12" s="30" t="s">
        <v>4</v>
      </c>
      <c r="D12" s="44" t="s">
        <v>25</v>
      </c>
      <c r="E12" s="31">
        <f t="shared" si="3"/>
        <v>0</v>
      </c>
      <c r="F12" s="31"/>
      <c r="G12" s="32"/>
      <c r="H12" s="34">
        <f>777</f>
        <v>777</v>
      </c>
      <c r="I12" s="50">
        <v>0.32</v>
      </c>
      <c r="J12" s="50" t="e">
        <f t="shared" si="1"/>
        <v>#VALUE!</v>
      </c>
      <c r="K12" s="59" t="e">
        <f t="shared" si="2"/>
        <v>#VALUE!</v>
      </c>
      <c r="L12" s="33">
        <f t="shared" ref="L12:L18" si="6">G12-H12</f>
        <v>-777</v>
      </c>
      <c r="M12"/>
      <c r="N12"/>
    </row>
    <row r="13" spans="1:19" x14ac:dyDescent="0.25">
      <c r="A13" s="41" t="s">
        <v>59</v>
      </c>
      <c r="B13" s="16" t="s">
        <v>46</v>
      </c>
      <c r="C13" s="30" t="s">
        <v>8</v>
      </c>
      <c r="D13" s="42" t="s">
        <v>1</v>
      </c>
      <c r="E13" s="31">
        <f t="shared" si="3"/>
        <v>0</v>
      </c>
      <c r="F13" s="31"/>
      <c r="G13" s="32"/>
      <c r="H13" s="34" t="e">
        <f>(1/1000)*O5*19.1*0.1946*0.8</f>
        <v>#VALUE!</v>
      </c>
      <c r="I13" s="50">
        <v>20</v>
      </c>
      <c r="J13" s="50" t="e">
        <f t="shared" si="1"/>
        <v>#VALUE!</v>
      </c>
      <c r="K13" s="59" t="e">
        <f t="shared" si="2"/>
        <v>#VALUE!</v>
      </c>
      <c r="L13" s="33" t="e">
        <f t="shared" si="6"/>
        <v>#VALUE!</v>
      </c>
      <c r="M13"/>
      <c r="N13"/>
      <c r="O13" s="7"/>
      <c r="R13" s="8"/>
    </row>
    <row r="14" spans="1:19" x14ac:dyDescent="0.25">
      <c r="A14" s="41" t="s">
        <v>59</v>
      </c>
      <c r="B14" s="16" t="s">
        <v>46</v>
      </c>
      <c r="C14" s="30" t="s">
        <v>7</v>
      </c>
      <c r="D14" s="43" t="s">
        <v>28</v>
      </c>
      <c r="E14" s="31">
        <f t="shared" si="3"/>
        <v>0</v>
      </c>
      <c r="F14" s="34"/>
      <c r="G14" s="32"/>
      <c r="H14" s="34" t="e">
        <f>(1/1000)*O5*19.1*0.1946*0.13</f>
        <v>#VALUE!</v>
      </c>
      <c r="I14" s="50">
        <v>20</v>
      </c>
      <c r="J14" s="50" t="e">
        <f t="shared" si="1"/>
        <v>#VALUE!</v>
      </c>
      <c r="K14" s="59" t="e">
        <f t="shared" si="2"/>
        <v>#VALUE!</v>
      </c>
      <c r="L14" s="33" t="e">
        <f t="shared" si="6"/>
        <v>#VALUE!</v>
      </c>
      <c r="M14"/>
      <c r="N14"/>
      <c r="O14" s="7"/>
    </row>
    <row r="15" spans="1:19" x14ac:dyDescent="0.25">
      <c r="A15" s="41" t="s">
        <v>59</v>
      </c>
      <c r="B15" s="16" t="s">
        <v>46</v>
      </c>
      <c r="C15" s="30" t="s">
        <v>6</v>
      </c>
      <c r="D15" s="43" t="s">
        <v>24</v>
      </c>
      <c r="E15" s="31">
        <f t="shared" si="3"/>
        <v>0</v>
      </c>
      <c r="F15" s="34"/>
      <c r="G15" s="32"/>
      <c r="H15" s="34" t="e">
        <f>0.001*19.1*O5*(1-8/100)</f>
        <v>#VALUE!</v>
      </c>
      <c r="I15" s="50">
        <v>0.32</v>
      </c>
      <c r="J15" s="50" t="e">
        <f t="shared" si="1"/>
        <v>#VALUE!</v>
      </c>
      <c r="K15" s="59" t="e">
        <f t="shared" si="2"/>
        <v>#VALUE!</v>
      </c>
      <c r="L15" s="33" t="e">
        <f t="shared" si="6"/>
        <v>#VALUE!</v>
      </c>
      <c r="M15"/>
      <c r="N15"/>
      <c r="O15" s="7"/>
    </row>
    <row r="16" spans="1:19" x14ac:dyDescent="0.25">
      <c r="A16" s="41" t="s">
        <v>59</v>
      </c>
      <c r="B16" s="16" t="s">
        <v>46</v>
      </c>
      <c r="C16" s="30" t="s">
        <v>5</v>
      </c>
      <c r="D16" s="42" t="s">
        <v>31</v>
      </c>
      <c r="E16" s="31">
        <f t="shared" si="3"/>
        <v>0</v>
      </c>
      <c r="F16" s="31"/>
      <c r="G16" s="32"/>
      <c r="H16" s="34" t="e">
        <f>0.02*0.37*O5</f>
        <v>#VALUE!</v>
      </c>
      <c r="I16" s="54">
        <v>20</v>
      </c>
      <c r="J16" s="50" t="e">
        <f t="shared" si="1"/>
        <v>#VALUE!</v>
      </c>
      <c r="K16" s="59" t="e">
        <f t="shared" si="2"/>
        <v>#VALUE!</v>
      </c>
      <c r="L16" s="33" t="e">
        <f t="shared" si="6"/>
        <v>#VALUE!</v>
      </c>
      <c r="M16"/>
      <c r="N16"/>
      <c r="O16" s="7"/>
    </row>
    <row r="17" spans="1:15" x14ac:dyDescent="0.25">
      <c r="A17" s="41" t="s">
        <v>59</v>
      </c>
      <c r="B17" s="16" t="s">
        <v>46</v>
      </c>
      <c r="C17" s="35" t="s">
        <v>23</v>
      </c>
      <c r="D17" s="43" t="s">
        <v>32</v>
      </c>
      <c r="E17" s="31">
        <f t="shared" si="3"/>
        <v>0</v>
      </c>
      <c r="F17" s="34"/>
      <c r="G17" s="32"/>
      <c r="H17" s="34" t="e">
        <f>O5*14.23*0.9819</f>
        <v>#VALUE!</v>
      </c>
      <c r="I17" s="54">
        <v>10</v>
      </c>
      <c r="J17" s="50" t="e">
        <f t="shared" si="1"/>
        <v>#VALUE!</v>
      </c>
      <c r="K17" s="59" t="e">
        <f t="shared" si="2"/>
        <v>#VALUE!</v>
      </c>
      <c r="L17" s="33" t="e">
        <f t="shared" si="6"/>
        <v>#VALUE!</v>
      </c>
      <c r="M17"/>
      <c r="N17"/>
      <c r="O17" s="7"/>
    </row>
    <row r="18" spans="1:15" x14ac:dyDescent="0.25">
      <c r="A18" s="41" t="s">
        <v>48</v>
      </c>
      <c r="B18" s="16" t="s">
        <v>49</v>
      </c>
      <c r="C18" s="36" t="s">
        <v>22</v>
      </c>
      <c r="D18" s="43" t="s">
        <v>3</v>
      </c>
      <c r="E18" s="31">
        <f t="shared" si="3"/>
        <v>0</v>
      </c>
      <c r="F18" s="34"/>
      <c r="G18" s="32"/>
      <c r="H18" s="34" t="e">
        <f>1.2*0.1*0.9*1.45*0.4*0.005*20*O5+0.03*0.02*1.2*0.1*0.9*0.4*1.5*20*O5</f>
        <v>#VALUE!</v>
      </c>
      <c r="I18" s="54">
        <v>10</v>
      </c>
      <c r="J18" s="50" t="e">
        <f t="shared" si="1"/>
        <v>#VALUE!</v>
      </c>
      <c r="K18" s="59" t="e">
        <f t="shared" si="2"/>
        <v>#VALUE!</v>
      </c>
      <c r="L18" s="33" t="e">
        <f t="shared" si="6"/>
        <v>#VALUE!</v>
      </c>
      <c r="M18"/>
      <c r="N18"/>
    </row>
    <row r="19" spans="1:15" x14ac:dyDescent="0.25">
      <c r="B19" s="4"/>
      <c r="C19" s="2"/>
      <c r="D19" s="62" t="s">
        <v>2</v>
      </c>
      <c r="E19" s="63"/>
      <c r="F19" s="63"/>
      <c r="G19" s="63"/>
      <c r="H19" s="63"/>
      <c r="I19" s="63"/>
      <c r="J19" s="63"/>
      <c r="K19" s="63"/>
      <c r="L19" s="64"/>
      <c r="M19"/>
      <c r="N19"/>
    </row>
    <row r="20" spans="1:15" x14ac:dyDescent="0.25">
      <c r="B20" s="4"/>
      <c r="C20" s="2"/>
      <c r="D20" s="45" t="s">
        <v>1</v>
      </c>
      <c r="E20" s="26">
        <f>E3+E13</f>
        <v>0</v>
      </c>
      <c r="F20" s="26">
        <f>F3+F13</f>
        <v>0</v>
      </c>
      <c r="G20" s="29">
        <f>G3+G13</f>
        <v>0</v>
      </c>
      <c r="H20" s="26" t="e">
        <f>H3+H13</f>
        <v>#VALUE!</v>
      </c>
      <c r="I20" s="55">
        <v>20</v>
      </c>
      <c r="J20" s="51">
        <f>I20*3932</f>
        <v>78640</v>
      </c>
      <c r="K20" s="60" t="e">
        <f t="shared" ref="K20:K29" si="7">ROUND(H20*J20,0)</f>
        <v>#VALUE!</v>
      </c>
      <c r="L20" s="29" t="e">
        <f>G20-H20</f>
        <v>#VALUE!</v>
      </c>
      <c r="M20" t="e">
        <f>SUM(K3:K18)</f>
        <v>#VALUE!</v>
      </c>
      <c r="N20"/>
    </row>
    <row r="21" spans="1:15" x14ac:dyDescent="0.25">
      <c r="B21" s="4"/>
      <c r="C21" s="2"/>
      <c r="D21" s="46" t="s">
        <v>18</v>
      </c>
      <c r="E21" s="28">
        <f>E4+E14</f>
        <v>0</v>
      </c>
      <c r="F21" s="28">
        <f>F4+F14</f>
        <v>0</v>
      </c>
      <c r="G21" s="27">
        <f>G4+G14</f>
        <v>0</v>
      </c>
      <c r="H21" s="28" t="e">
        <f>H4+H14</f>
        <v>#VALUE!</v>
      </c>
      <c r="I21" s="55">
        <v>20</v>
      </c>
      <c r="J21" s="51">
        <f t="shared" ref="J21:J29" si="8">I21*3932</f>
        <v>78640</v>
      </c>
      <c r="K21" s="60" t="e">
        <f t="shared" si="7"/>
        <v>#VALUE!</v>
      </c>
      <c r="L21" s="29" t="e">
        <f t="shared" ref="L21:L28" si="9">G21-H21</f>
        <v>#VALUE!</v>
      </c>
      <c r="M21"/>
      <c r="N21"/>
    </row>
    <row r="22" spans="1:15" x14ac:dyDescent="0.25">
      <c r="B22" s="4"/>
      <c r="C22" s="2"/>
      <c r="D22" s="45" t="s">
        <v>24</v>
      </c>
      <c r="E22" s="28">
        <f>E7+E15</f>
        <v>0</v>
      </c>
      <c r="F22" s="28">
        <f>F7+F15</f>
        <v>0</v>
      </c>
      <c r="G22" s="27">
        <f>G7+G15</f>
        <v>0</v>
      </c>
      <c r="H22" s="28" t="e">
        <f>H7+H15</f>
        <v>#VALUE!</v>
      </c>
      <c r="I22" s="55">
        <v>0.32</v>
      </c>
      <c r="J22" s="51">
        <f t="shared" si="8"/>
        <v>1258.24</v>
      </c>
      <c r="K22" s="60" t="e">
        <f t="shared" si="7"/>
        <v>#VALUE!</v>
      </c>
      <c r="L22" s="29" t="e">
        <f t="shared" si="9"/>
        <v>#VALUE!</v>
      </c>
      <c r="M22"/>
      <c r="N22"/>
    </row>
    <row r="23" spans="1:15" x14ac:dyDescent="0.25">
      <c r="B23" s="4"/>
      <c r="C23" s="2"/>
      <c r="D23" s="46" t="s">
        <v>17</v>
      </c>
      <c r="E23" s="28">
        <f>E6+E16</f>
        <v>0</v>
      </c>
      <c r="F23" s="28">
        <f>F6+F16</f>
        <v>0</v>
      </c>
      <c r="G23" s="27">
        <f>G6+G16</f>
        <v>0</v>
      </c>
      <c r="H23" s="28" t="e">
        <f>H6+H16</f>
        <v>#VALUE!</v>
      </c>
      <c r="I23" s="55">
        <v>20</v>
      </c>
      <c r="J23" s="51">
        <f t="shared" si="8"/>
        <v>78640</v>
      </c>
      <c r="K23" s="60" t="e">
        <f t="shared" si="7"/>
        <v>#VALUE!</v>
      </c>
      <c r="L23" s="29" t="e">
        <f t="shared" si="9"/>
        <v>#VALUE!</v>
      </c>
      <c r="M23" s="5"/>
      <c r="N23" s="5"/>
    </row>
    <row r="24" spans="1:15" x14ac:dyDescent="0.25">
      <c r="B24" s="4"/>
      <c r="C24" s="2"/>
      <c r="D24" s="45" t="s">
        <v>27</v>
      </c>
      <c r="E24" s="26">
        <f>E5</f>
        <v>0</v>
      </c>
      <c r="F24" s="26">
        <f>F5</f>
        <v>0</v>
      </c>
      <c r="G24" s="29">
        <f>G5</f>
        <v>0</v>
      </c>
      <c r="H24" s="26" t="e">
        <f>H5</f>
        <v>#VALUE!</v>
      </c>
      <c r="I24" s="55">
        <f>I5</f>
        <v>24</v>
      </c>
      <c r="J24" s="51">
        <f t="shared" si="8"/>
        <v>94368</v>
      </c>
      <c r="K24" s="60" t="e">
        <f t="shared" si="7"/>
        <v>#VALUE!</v>
      </c>
      <c r="L24" s="29" t="e">
        <f t="shared" si="9"/>
        <v>#VALUE!</v>
      </c>
      <c r="M24" s="5"/>
      <c r="N24" s="5"/>
    </row>
    <row r="25" spans="1:15" x14ac:dyDescent="0.25">
      <c r="B25" s="4"/>
      <c r="C25" s="2"/>
      <c r="D25" s="46" t="s">
        <v>19</v>
      </c>
      <c r="E25" s="28">
        <f>E9</f>
        <v>0</v>
      </c>
      <c r="F25" s="28">
        <f>F9</f>
        <v>0</v>
      </c>
      <c r="G25" s="27">
        <f>G9</f>
        <v>0</v>
      </c>
      <c r="H25" s="28" t="e">
        <f>H9</f>
        <v>#VALUE!</v>
      </c>
      <c r="I25" s="55">
        <f>I9</f>
        <v>332</v>
      </c>
      <c r="J25" s="51">
        <f t="shared" si="8"/>
        <v>1305424</v>
      </c>
      <c r="K25" s="60" t="e">
        <f t="shared" si="7"/>
        <v>#VALUE!</v>
      </c>
      <c r="L25" s="29" t="e">
        <f t="shared" si="9"/>
        <v>#VALUE!</v>
      </c>
      <c r="M25" s="9"/>
      <c r="N25" s="9"/>
    </row>
    <row r="26" spans="1:15" x14ac:dyDescent="0.25">
      <c r="B26" s="4"/>
      <c r="C26" s="2"/>
      <c r="D26" s="45" t="s">
        <v>0</v>
      </c>
      <c r="E26" s="28">
        <f>E8*1000</f>
        <v>0</v>
      </c>
      <c r="F26" s="28">
        <f>F8*1000</f>
        <v>0</v>
      </c>
      <c r="G26" s="27">
        <f>G8*1000</f>
        <v>0</v>
      </c>
      <c r="H26" s="28" t="e">
        <f>H8*1000</f>
        <v>#VALUE!</v>
      </c>
      <c r="I26" s="55">
        <f>I8</f>
        <v>996600</v>
      </c>
      <c r="J26" s="51">
        <f t="shared" si="8"/>
        <v>3918631200</v>
      </c>
      <c r="K26" s="60" t="e">
        <f t="shared" si="7"/>
        <v>#VALUE!</v>
      </c>
      <c r="L26" s="29" t="e">
        <f t="shared" si="9"/>
        <v>#VALUE!</v>
      </c>
      <c r="M26" s="5"/>
      <c r="N26" s="5"/>
    </row>
    <row r="27" spans="1:15" x14ac:dyDescent="0.25">
      <c r="B27" s="4"/>
      <c r="C27" s="2"/>
      <c r="D27" s="46" t="s">
        <v>25</v>
      </c>
      <c r="E27" s="28">
        <f>E12+E10</f>
        <v>0</v>
      </c>
      <c r="F27" s="28">
        <f t="shared" ref="F27:L27" si="10">F12+F10</f>
        <v>0</v>
      </c>
      <c r="G27" s="28">
        <f t="shared" si="10"/>
        <v>0</v>
      </c>
      <c r="H27" s="28" t="e">
        <f t="shared" si="10"/>
        <v>#VALUE!</v>
      </c>
      <c r="I27" s="28">
        <f t="shared" si="10"/>
        <v>0.64</v>
      </c>
      <c r="J27" s="28" t="e">
        <f t="shared" si="10"/>
        <v>#VALUE!</v>
      </c>
      <c r="K27" s="28" t="e">
        <f t="shared" si="10"/>
        <v>#VALUE!</v>
      </c>
      <c r="L27" s="28" t="e">
        <f t="shared" si="10"/>
        <v>#VALUE!</v>
      </c>
      <c r="M27" s="5"/>
      <c r="N27" s="5"/>
    </row>
    <row r="28" spans="1:15" x14ac:dyDescent="0.25">
      <c r="B28" s="4"/>
      <c r="C28" s="2"/>
      <c r="D28" s="46" t="s">
        <v>58</v>
      </c>
      <c r="E28" s="28">
        <f>E11</f>
        <v>0</v>
      </c>
      <c r="F28" s="28">
        <f>F11</f>
        <v>0</v>
      </c>
      <c r="G28" s="27">
        <f>G11</f>
        <v>0</v>
      </c>
      <c r="H28" s="28">
        <f>H11</f>
        <v>777</v>
      </c>
      <c r="I28" s="55">
        <f>I13</f>
        <v>20</v>
      </c>
      <c r="J28" s="51">
        <f t="shared" ref="J28" si="11">I28*3932</f>
        <v>78640</v>
      </c>
      <c r="K28" s="60">
        <f t="shared" ref="K28" si="12">ROUND(H28*J28,0)</f>
        <v>61103280</v>
      </c>
      <c r="L28" s="29">
        <f t="shared" ref="L28" si="13">G28-H28</f>
        <v>-777</v>
      </c>
      <c r="M28" s="5"/>
      <c r="N28" s="5"/>
    </row>
    <row r="29" spans="1:15" x14ac:dyDescent="0.25">
      <c r="B29" s="4"/>
      <c r="C29" s="2"/>
      <c r="D29" s="46" t="s">
        <v>21</v>
      </c>
      <c r="E29" s="26">
        <f>E18</f>
        <v>0</v>
      </c>
      <c r="F29" s="26">
        <f t="shared" ref="F29:L29" si="14">F18</f>
        <v>0</v>
      </c>
      <c r="G29" s="26">
        <f t="shared" si="14"/>
        <v>0</v>
      </c>
      <c r="H29" s="26" t="e">
        <f t="shared" si="14"/>
        <v>#VALUE!</v>
      </c>
      <c r="I29" s="26">
        <f t="shared" si="14"/>
        <v>10</v>
      </c>
      <c r="J29" s="26" t="e">
        <f t="shared" si="14"/>
        <v>#VALUE!</v>
      </c>
      <c r="K29" s="26" t="e">
        <f t="shared" si="14"/>
        <v>#VALUE!</v>
      </c>
      <c r="L29" s="26" t="e">
        <f t="shared" si="14"/>
        <v>#VALUE!</v>
      </c>
      <c r="M29" s="9"/>
      <c r="N29" s="9"/>
    </row>
    <row r="30" spans="1:15" x14ac:dyDescent="0.25">
      <c r="B30" s="4"/>
      <c r="C30" s="2"/>
      <c r="D30" s="46" t="s">
        <v>20</v>
      </c>
      <c r="E30" s="28">
        <f>E17</f>
        <v>0</v>
      </c>
      <c r="F30" s="28">
        <f t="shared" ref="F30:L30" si="15">F17</f>
        <v>0</v>
      </c>
      <c r="G30" s="28">
        <f t="shared" si="15"/>
        <v>0</v>
      </c>
      <c r="H30" s="28" t="e">
        <f t="shared" si="15"/>
        <v>#VALUE!</v>
      </c>
      <c r="I30" s="28">
        <f t="shared" si="15"/>
        <v>10</v>
      </c>
      <c r="J30" s="28" t="e">
        <f t="shared" si="15"/>
        <v>#VALUE!</v>
      </c>
      <c r="K30" s="28" t="e">
        <f t="shared" si="15"/>
        <v>#VALUE!</v>
      </c>
      <c r="L30" s="28" t="e">
        <f t="shared" si="15"/>
        <v>#VALUE!</v>
      </c>
      <c r="M30" s="3"/>
      <c r="N30" s="3"/>
    </row>
    <row r="31" spans="1:15" x14ac:dyDescent="0.25">
      <c r="D31" s="47"/>
      <c r="E31" s="19"/>
      <c r="F31" s="19"/>
      <c r="G31" s="21"/>
      <c r="H31" s="19"/>
      <c r="I31" s="52"/>
      <c r="J31" s="52"/>
      <c r="K31" s="61" t="e">
        <f>SUM(K20:K30)</f>
        <v>#VALUE!</v>
      </c>
      <c r="L31" s="21"/>
      <c r="M31" s="3"/>
      <c r="N31" s="3"/>
    </row>
    <row r="32" spans="1:15" x14ac:dyDescent="0.25">
      <c r="F32" s="20"/>
      <c r="G32" s="22"/>
      <c r="H32" s="20"/>
      <c r="L32" s="22"/>
    </row>
    <row r="33" spans="6:12" x14ac:dyDescent="0.25">
      <c r="F33" s="20"/>
      <c r="G33" s="22"/>
      <c r="H33" s="20"/>
      <c r="L33" s="22"/>
    </row>
    <row r="34" spans="6:12" x14ac:dyDescent="0.25">
      <c r="F34" s="20"/>
      <c r="G34" s="22"/>
      <c r="H34" s="20"/>
      <c r="L34" s="22"/>
    </row>
    <row r="35" spans="6:12" x14ac:dyDescent="0.25">
      <c r="F35" s="20"/>
      <c r="G35" s="22"/>
      <c r="H35" s="20"/>
      <c r="L35" s="22"/>
    </row>
    <row r="36" spans="6:12" x14ac:dyDescent="0.25">
      <c r="F36" s="20"/>
      <c r="G36" s="22"/>
      <c r="H36" s="20"/>
      <c r="L36" s="22"/>
    </row>
    <row r="37" spans="6:12" x14ac:dyDescent="0.25">
      <c r="F37" s="20"/>
      <c r="G37" s="22"/>
      <c r="H37" s="20"/>
      <c r="L37" s="22"/>
    </row>
    <row r="38" spans="6:12" x14ac:dyDescent="0.25">
      <c r="F38" s="20"/>
      <c r="G38" s="22"/>
      <c r="H38" s="20"/>
      <c r="L38" s="22"/>
    </row>
    <row r="39" spans="6:12" x14ac:dyDescent="0.25">
      <c r="F39" s="20"/>
      <c r="G39" s="22"/>
      <c r="H39" s="20"/>
      <c r="L39" s="22"/>
    </row>
    <row r="40" spans="6:12" x14ac:dyDescent="0.25">
      <c r="F40" s="20"/>
      <c r="G40" s="22"/>
      <c r="H40" s="20"/>
      <c r="L40" s="22"/>
    </row>
    <row r="41" spans="6:12" x14ac:dyDescent="0.25">
      <c r="F41" s="20"/>
      <c r="G41" s="22"/>
      <c r="H41" s="20"/>
      <c r="L41" s="22"/>
    </row>
  </sheetData>
  <mergeCells count="7">
    <mergeCell ref="D19:L19"/>
    <mergeCell ref="B1:B2"/>
    <mergeCell ref="C1:C2"/>
    <mergeCell ref="A1:A2"/>
    <mergeCell ref="D1:D2"/>
    <mergeCell ref="G2:L2"/>
    <mergeCell ref="E1:F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Абайская область, Кокпектинский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Danyar</dc:creator>
  <cp:lastModifiedBy>Khanbin Sim</cp:lastModifiedBy>
  <dcterms:created xsi:type="dcterms:W3CDTF">2015-06-05T18:19:34Z</dcterms:created>
  <dcterms:modified xsi:type="dcterms:W3CDTF">2025-08-11T14:50:44Z</dcterms:modified>
</cp:coreProperties>
</file>