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2"/>
  <workbookPr defaultThemeVersion="166925"/>
  <mc:AlternateContent xmlns:mc="http://schemas.openxmlformats.org/markup-compatibility/2006">
    <mc:Choice Requires="x15">
      <x15ac:absPath xmlns:x15ac="http://schemas.microsoft.com/office/spreadsheetml/2010/11/ac" url="D:\Dropbox\new model (TSC)\Data for FHMS\"/>
    </mc:Choice>
  </mc:AlternateContent>
  <xr:revisionPtr revIDLastSave="0" documentId="13_ncr:1_{32CD6B75-728E-4B91-9408-441ADC767A17}" xr6:coauthVersionLast="45" xr6:coauthVersionMax="45" xr10:uidLastSave="{00000000-0000-0000-0000-000000000000}"/>
  <bookViews>
    <workbookView xWindow="-120" yWindow="-120" windowWidth="29040" windowHeight="15990" xr2:uid="{16CDCB1A-3893-46C1-9870-7F5FBEFEDAB0}"/>
  </bookViews>
  <sheets>
    <sheet name="DATA" sheetId="1" r:id="rId1"/>
    <sheet name="Current" sheetId="12" r:id="rId2"/>
    <sheet name="NYC rev &amp; expense" sheetId="11" r:id="rId3"/>
    <sheet name="NYC Space" sheetId="13" r:id="rId4"/>
    <sheet name="working calculations" sheetId="14" r:id="rId5"/>
    <sheet name="QB operational drivers" sheetId="18" r:id="rId6"/>
    <sheet name="24-Jun-2020" sheetId="17" r:id="rId7"/>
    <sheet name="Big Picture Plan" sheetId="15" r:id="rId8"/>
  </sheets>
  <externalReferences>
    <externalReference r:id="rId9"/>
    <externalReference r:id="rId10"/>
  </externalReferences>
  <definedNames>
    <definedName name="_bdm.FastTrackBookmark.3_19_2005_2_23_40_PM.edm" localSheetId="1" hidden="1">'[1]Revenue Projections'!#REF!</definedName>
    <definedName name="_bdm.FastTrackBookmark.3_19_2005_2_23_40_PM.edm" localSheetId="2" hidden="1">'[1]Revenue Projections'!#REF!</definedName>
    <definedName name="_bdm.FastTrackBookmark.3_19_2005_2_23_40_PM.edm" localSheetId="3" hidden="1">'[1]Revenue Projections'!#REF!</definedName>
    <definedName name="_bdm.FastTrackBookmark.3_19_2005_2_23_40_PM.edm" hidden="1">'[1]Revenue Projections'!#REF!</definedName>
    <definedName name="_Table2_Out" localSheetId="1" hidden="1">#REF!</definedName>
    <definedName name="_Table2_Out" localSheetId="2" hidden="1">#REF!</definedName>
    <definedName name="_Table2_Out" localSheetId="3" hidden="1">#REF!</definedName>
    <definedName name="_Table2_Out" hidden="1">#REF!</definedName>
    <definedName name="ACTUAL_DATES">'[2]INPUT - ACTUAL RESULTS'!$B$3:$AK$3</definedName>
    <definedName name="Actual_Driver_lables">[2]STAGING!$A$25:$A$41</definedName>
    <definedName name="ACTUAL_INPUT">'[2]INPUT - ACTUAL RESULTS'!$B$4:$AK$20</definedName>
    <definedName name="actual_lables">[2]STAGING!$A$6:$A$22</definedName>
    <definedName name="ACTUAL_VARIABLES">'[2]INPUT - ACTUAL RESULTS'!$A$4:$A$20</definedName>
    <definedName name="ACTUALS_DRIVERS_INTO_MODEL">[2]STAGING!$B$25:$AK$41</definedName>
    <definedName name="ACTUALS_INTO_MODEL">[2]STAGING!$B$6:$AK$22</definedName>
    <definedName name="ADJUSTMENTS_INTO_MODEL">[2]STAGING!$B$93:$AK$108</definedName>
    <definedName name="Annual_BURDENED_Labor_cost">'[2]INPUT - Staffing'!$R$4:$R$124</definedName>
    <definedName name="anscount" hidden="1">1</definedName>
    <definedName name="Base_Rate">'[2]INPUT - Staffing'!$I$4:$I$124</definedName>
    <definedName name="BASELINE_DRIVERS" localSheetId="1">Current!#REF!</definedName>
    <definedName name="BASELINE_DRIVERS" localSheetId="2">'NYC rev &amp; expense'!#REF!</definedName>
    <definedName name="BASELINE_DRIVERS" localSheetId="3">'NYC Space'!$B$20:$Y$45</definedName>
    <definedName name="BASELINE_DRIVERS">DATA!#REF!</definedName>
    <definedName name="BASELINE_DRIVERS_INTO_MODEL">[2]STAGING!$B$69:$AK$85</definedName>
    <definedName name="Baseline_input" localSheetId="1">Current!$B$4:$Z$14</definedName>
    <definedName name="Baseline_input" localSheetId="2">'NYC rev &amp; expense'!$B$4:$Y$15</definedName>
    <definedName name="Baseline_input" localSheetId="3">'NYC Space'!$B$4:$Y$15</definedName>
    <definedName name="Baseline_input">DATA!$B$4:$Y$15</definedName>
    <definedName name="Baseline_Variables" localSheetId="1">Current!$A$4:$A$14</definedName>
    <definedName name="Baseline_Variables" localSheetId="2">'NYC rev &amp; expense'!$A$4:$A$15</definedName>
    <definedName name="Baseline_Variables" localSheetId="3">'NYC Space'!$A$4:$A$15</definedName>
    <definedName name="Baseline_Variables">DATA!$A$4:$A$15</definedName>
    <definedName name="Caseref">'[2]LOGIC - Strategic Scenarios '!$B$2</definedName>
    <definedName name="Driver_Case">'[2]LOGIC - Strategic Scenarios '!$A$30</definedName>
    <definedName name="Driver_Labels">'[2]INPUT - USER CONFIGURATION'!$K$9:$K$25</definedName>
    <definedName name="Driver_Names">'[2]INPUT - USER CONFIGURATION'!$K$9:INDEX('[2]INPUT - USER CONFIGURATION'!$K$9:$K$25,COUNTA('[2]INPUT - USER CONFIGURATION'!$K$9:$K$25)-COUNTBLANK('[2]INPUT - USER CONFIGURATION'!$K$9:$K$25))</definedName>
    <definedName name="Driver_Scenarios" localSheetId="1">Driver_Scenario1,Driver_Scenario2,Driver_Scenario3,Aggregate_Adjustments</definedName>
    <definedName name="Driver_Scenarios" localSheetId="2">Driver_Scenario1,Driver_Scenario2,Driver_Scenario3,Aggregate_Adjustments</definedName>
    <definedName name="Driver_Scenarios" localSheetId="3">Driver_Scenario1,Driver_Scenario2,Driver_Scenario3,Aggregate_Adjustments</definedName>
    <definedName name="Driver_Scenarios">Driver_Scenario1,Driver_Scenario2,Driver_Scenario3,Aggregate_Adjustments</definedName>
    <definedName name="DRIVERS">'[2]INPUT - USER CONFIGURATION'!$K$9:INDEX('[2]INPUT - USER CONFIGURATION'!$K$9:$K$25,SUM(--(LEN('[2]INPUT - USER CONFIGURATION'!$K$9:$K$25)&gt;0)))</definedName>
    <definedName name="Estimated_Hours">'[2]INPUT - Staffing'!$H$4:$H$124</definedName>
    <definedName name="Fringe_Benefits">'[2]INPUT - Staffing'!$L$4:$L$124</definedName>
    <definedName name="G_A">'[2]INPUT - Staffing'!$N$4:$N$124</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MES_REVISION_DATE_" hidden="1">39923.5984953704</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Level" localSheetId="1">'[2]INPUT - USER CONFIGURATION'!#REF!</definedName>
    <definedName name="Level" localSheetId="2">'[2]INPUT - USER CONFIGURATION'!#REF!</definedName>
    <definedName name="Level" localSheetId="3">'[2]INPUT - USER CONFIGURATION'!#REF!</definedName>
    <definedName name="Level">'[2]INPUT - USER CONFIGURATION'!#REF!</definedName>
    <definedName name="Model_Dates" localSheetId="1">Current!$B$3:$Z$3</definedName>
    <definedName name="Model_Dates" localSheetId="2">'NYC rev &amp; expense'!$B$3:$Z$3</definedName>
    <definedName name="Model_Dates" localSheetId="3">'NYC Space'!$B$3:$Y$3</definedName>
    <definedName name="Model_Dates">DATA!$B$3:$Y$3</definedName>
    <definedName name="Observable">'[2]INPUT - USER CONFIGURATION'!$J$9:INDEX('[2]INPUT - USER CONFIGURATION'!$J$9:$J$25,COUNTA('[2]INPUT - USER CONFIGURATION'!$J$9:$J$25)-COUNTBLANK('[2]INPUT - USER CONFIGURATION'!$J$9:$J$25))</definedName>
    <definedName name="Overhead">'[2]INPUT - Staffing'!$M$4:$M$124</definedName>
    <definedName name="Payroll_Taxes">'[2]INPUT - Staffing'!$O$4:$O$124</definedName>
    <definedName name="Results_Drivers" localSheetId="1">'[2]LOGIC - Drivers'!$B$4:INDEX('[2]LOGIC - Drivers'!$AK$4:$AK$20,COUNTA(DRIVERS))</definedName>
    <definedName name="Results_Drivers" localSheetId="2">'[2]LOGIC - Drivers'!$B$4:INDEX('[2]LOGIC - Drivers'!$AK$4:$AK$20,COUNTA(DRIVERS))</definedName>
    <definedName name="Results_Drivers" localSheetId="3">'[2]LOGIC - Drivers'!$B$4:INDEX('[2]LOGIC - Drivers'!$AK$4:$AK$20,COUNTA(DRIVERS))</definedName>
    <definedName name="Results_Drivers">'[2]LOGIC - Drivers'!$B$4:INDEX('[2]LOGIC - Drivers'!$AK$4:$AK$20,COUNTA(DRIVERS))</definedName>
    <definedName name="Results_Value_Labels">'[2]LOGIC - Drivers'!$A$25:$A$40</definedName>
    <definedName name="Results_Values">'[2]LOGIC - Drivers'!$B$25:$AK$40</definedName>
    <definedName name="Salary">'[2]INPUT - Staffing'!$F$4:$F$124</definedName>
    <definedName name="Scenario1_Date_source">'[2]LOGIC - Strategic Scenarios '!$B$11</definedName>
    <definedName name="Scenario1_dates" localSheetId="1">Current!#REF!</definedName>
    <definedName name="Scenario1_dates" localSheetId="2">'NYC rev &amp; expense'!#REF!</definedName>
    <definedName name="Scenario1_dates" localSheetId="3">'NYC Space'!#REF!</definedName>
    <definedName name="Scenario1_dates">DATA!#REF!</definedName>
    <definedName name="Scenario1_deltas" localSheetId="1">Current!$B$109:$AK$125</definedName>
    <definedName name="Scenario1_deltas" localSheetId="2">'NYC rev &amp; expense'!$B$28:$Y$42</definedName>
    <definedName name="Scenario1_deltas" localSheetId="3">'NYC Space'!$B$59:$Y$75</definedName>
    <definedName name="Scenario1_deltas">DATA!$B$18:$Y$33</definedName>
    <definedName name="Scenario1_Input" localSheetId="1">Current!$B$95:$AK$106</definedName>
    <definedName name="Scenario1_Input" localSheetId="2">'NYC rev &amp; expense'!#REF!</definedName>
    <definedName name="Scenario1_Input" localSheetId="3">'NYC Space'!$B$46:$Y$55</definedName>
    <definedName name="Scenario1_Input">DATA!#REF!</definedName>
    <definedName name="Scenario1_Name" localSheetId="1">Current!#REF!</definedName>
    <definedName name="Scenario1_Name" localSheetId="2">'NYC rev &amp; expense'!#REF!</definedName>
    <definedName name="Scenario1_Name" localSheetId="3">'NYC Space'!#REF!</definedName>
    <definedName name="Scenario1_Name">DATA!#REF!</definedName>
    <definedName name="Scenario2_date_source">'[2]LOGIC - Strategic Scenarios '!$B$12</definedName>
    <definedName name="Scenario2_dates" localSheetId="1">Current!$B$133:$AK$133</definedName>
    <definedName name="Scenario2_dates" localSheetId="2">'NYC rev &amp; expense'!#REF!</definedName>
    <definedName name="Scenario2_dates" localSheetId="3">'NYC Space'!$B$83:$Y$83</definedName>
    <definedName name="Scenario2_dates">DATA!#REF!</definedName>
    <definedName name="Scenario2_deltas" localSheetId="1">Current!$B$153:$AK$169</definedName>
    <definedName name="Scenario2_deltas" localSheetId="2">'NYC rev &amp; expense'!$B$82:$Z$95</definedName>
    <definedName name="Scenario2_deltas" localSheetId="3">'NYC Space'!$B$103:$Y$119</definedName>
    <definedName name="Scenario2_deltas">DATA!$B$35:$Y$49</definedName>
    <definedName name="Scenario2_Inputs" localSheetId="1">Current!$B$134:$AK$150</definedName>
    <definedName name="Scenario2_Inputs" localSheetId="2">'NYC rev &amp; expense'!#REF!</definedName>
    <definedName name="Scenario2_Inputs" localSheetId="3">'NYC Space'!$B$84:$Y$100</definedName>
    <definedName name="Scenario2_Inputs">DATA!#REF!</definedName>
    <definedName name="Scenario2_Name" localSheetId="1">Current!$A$131</definedName>
    <definedName name="Scenario2_Name" localSheetId="2">'NYC rev &amp; expense'!#REF!</definedName>
    <definedName name="Scenario2_Name" localSheetId="3">'NYC Space'!$A$81</definedName>
    <definedName name="Scenario2_Name">DATA!#REF!</definedName>
    <definedName name="Scenario3_date_source">'[2]LOGIC - Strategic Scenarios '!$B$13</definedName>
    <definedName name="Scenario3_Dates" localSheetId="1">Current!$B$177:$AK$177</definedName>
    <definedName name="Scenario3_Dates" localSheetId="2">'NYC rev &amp; expense'!$B$103:$Z$103</definedName>
    <definedName name="Scenario3_Dates" localSheetId="3">'NYC Space'!$B$127:$Y$127</definedName>
    <definedName name="Scenario3_Dates">DATA!$B$57:$Y$57</definedName>
    <definedName name="Scenario3_deltas" localSheetId="1">Current!$B$197:$AK$213</definedName>
    <definedName name="Scenario3_deltas" localSheetId="2">'NYC rev &amp; expense'!$B$123:$Z$139</definedName>
    <definedName name="Scenario3_deltas" localSheetId="3">'NYC Space'!$B$147:$Y$163</definedName>
    <definedName name="Scenario3_deltas">DATA!$B$77:$Y$93</definedName>
    <definedName name="Scenario3_Inputs" localSheetId="1">Current!$B$178:$AK$194</definedName>
    <definedName name="Scenario3_Inputs" localSheetId="2">'NYC rev &amp; expense'!$B$104:$Z$120</definedName>
    <definedName name="Scenario3_Inputs" localSheetId="3">'NYC Space'!$B$128:$Y$144</definedName>
    <definedName name="Scenario3_Inputs">DATA!$B$58:$Y$74</definedName>
    <definedName name="Scenario3_name" localSheetId="1">Current!$A$175</definedName>
    <definedName name="Scenario3_name" localSheetId="2">'NYC rev &amp; expense'!$A$101</definedName>
    <definedName name="Scenario3_name" localSheetId="3">'NYC Space'!$A$125</definedName>
    <definedName name="Scenario3_name">DATA!$A$55</definedName>
    <definedName name="Start_Date">'[2]INPUT - USER CONFIGURATION'!$B$3</definedName>
    <definedName name="Switch_1" localSheetId="1">Current!#REF!</definedName>
    <definedName name="Switch_1" localSheetId="2">'NYC rev &amp; expense'!#REF!</definedName>
    <definedName name="Switch_1" localSheetId="3">'NYC Space'!#REF!</definedName>
    <definedName name="Switch_1">DATA!#REF!</definedName>
    <definedName name="Switch_2" localSheetId="1">Current!$B$130</definedName>
    <definedName name="Switch_2" localSheetId="2">'NYC rev &amp; expense'!#REF!</definedName>
    <definedName name="Switch_2" localSheetId="3">'NYC Space'!$B$80</definedName>
    <definedName name="Switch_2">DATA!#REF!</definedName>
    <definedName name="Switch_3" localSheetId="1">Current!$B$174</definedName>
    <definedName name="Switch_3" localSheetId="2">'NYC rev &amp; expense'!$B$100</definedName>
    <definedName name="Switch_3" localSheetId="3">'NYC Space'!$B$124</definedName>
    <definedName name="Switch_3">DATA!$B$54</definedName>
    <definedName name="Switch1_Source">'[2]LOGIC - Strategic Scenarios '!$B$5</definedName>
    <definedName name="Switch2_source">'[2]LOGIC - Strategic Scenarios '!$B$6</definedName>
    <definedName name="Switch3_source">'[2]LOGIC - Strategic Scenarios '!$B$7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D6" i="1"/>
  <c r="E6" i="1"/>
  <c r="F6" i="1"/>
  <c r="G6" i="1"/>
  <c r="H6" i="1"/>
  <c r="I6" i="1"/>
  <c r="J6" i="1"/>
  <c r="K6" i="1"/>
  <c r="L6" i="1"/>
  <c r="M6" i="1"/>
  <c r="N6" i="1"/>
  <c r="O6" i="1"/>
  <c r="P6" i="1"/>
  <c r="Q6" i="1"/>
  <c r="R6" i="1"/>
  <c r="S6" i="1"/>
  <c r="T6" i="1"/>
  <c r="U6" i="1"/>
  <c r="V6" i="1"/>
  <c r="W6" i="1"/>
  <c r="X6" i="1"/>
  <c r="Y6" i="1"/>
  <c r="C8" i="1"/>
  <c r="D8" i="1"/>
  <c r="E8" i="1"/>
  <c r="F8" i="1"/>
  <c r="G8" i="1"/>
  <c r="H8" i="1"/>
  <c r="I8" i="1"/>
  <c r="J8" i="1"/>
  <c r="K8" i="1"/>
  <c r="L8" i="1"/>
  <c r="M8" i="1"/>
  <c r="N8" i="1"/>
  <c r="O8" i="1"/>
  <c r="P8" i="1"/>
  <c r="Q8" i="1"/>
  <c r="R8" i="1"/>
  <c r="S8" i="1"/>
  <c r="T8" i="1"/>
  <c r="U8" i="1"/>
  <c r="V8" i="1"/>
  <c r="W8" i="1"/>
  <c r="X8" i="1"/>
  <c r="Y8" i="1"/>
  <c r="C9" i="1"/>
  <c r="D9" i="1"/>
  <c r="E9" i="1"/>
  <c r="F9" i="1"/>
  <c r="G9" i="1"/>
  <c r="H9" i="1"/>
  <c r="I9" i="1"/>
  <c r="J9" i="1"/>
  <c r="K9" i="1"/>
  <c r="L9" i="1"/>
  <c r="M9" i="1"/>
  <c r="N9" i="1"/>
  <c r="O9" i="1"/>
  <c r="P9" i="1"/>
  <c r="Q9" i="1"/>
  <c r="R9" i="1"/>
  <c r="S9" i="1"/>
  <c r="T9" i="1"/>
  <c r="U9" i="1"/>
  <c r="V9" i="1"/>
  <c r="W9" i="1"/>
  <c r="X9" i="1"/>
  <c r="Y9" i="1"/>
  <c r="C11" i="1"/>
  <c r="D11" i="1"/>
  <c r="E11" i="1"/>
  <c r="F11" i="1"/>
  <c r="G11" i="1"/>
  <c r="H11" i="1"/>
  <c r="I11" i="1"/>
  <c r="J11" i="1"/>
  <c r="K11" i="1"/>
  <c r="L11" i="1"/>
  <c r="M11" i="1"/>
  <c r="N11" i="1"/>
  <c r="O11" i="1"/>
  <c r="P11" i="1"/>
  <c r="Q11" i="1"/>
  <c r="R11" i="1"/>
  <c r="S11" i="1"/>
  <c r="T11" i="1"/>
  <c r="U11" i="1"/>
  <c r="V11" i="1"/>
  <c r="W11" i="1"/>
  <c r="X11" i="1"/>
  <c r="Y11" i="1"/>
  <c r="C12" i="1"/>
  <c r="D12" i="1"/>
  <c r="E12" i="1"/>
  <c r="F12" i="1"/>
  <c r="G12" i="1"/>
  <c r="H12" i="1"/>
  <c r="I12" i="1"/>
  <c r="J12" i="1"/>
  <c r="K12" i="1"/>
  <c r="L12" i="1"/>
  <c r="M12" i="1"/>
  <c r="N12" i="1"/>
  <c r="O12" i="1"/>
  <c r="P12" i="1"/>
  <c r="Q12" i="1"/>
  <c r="R12" i="1"/>
  <c r="S12" i="1"/>
  <c r="T12" i="1"/>
  <c r="U12" i="1"/>
  <c r="V12" i="1"/>
  <c r="W12" i="1"/>
  <c r="X12" i="1"/>
  <c r="Y12" i="1"/>
  <c r="C13" i="1"/>
  <c r="D13" i="1"/>
  <c r="E13" i="1"/>
  <c r="F13" i="1"/>
  <c r="G13" i="1"/>
  <c r="H13" i="1"/>
  <c r="I13" i="1"/>
  <c r="J13" i="1"/>
  <c r="K13" i="1"/>
  <c r="L13" i="1"/>
  <c r="M13" i="1"/>
  <c r="N13" i="1"/>
  <c r="O13" i="1"/>
  <c r="P13" i="1"/>
  <c r="Q13" i="1"/>
  <c r="R13" i="1"/>
  <c r="S13" i="1"/>
  <c r="T13" i="1"/>
  <c r="U13" i="1"/>
  <c r="V13" i="1"/>
  <c r="W13" i="1"/>
  <c r="X13" i="1"/>
  <c r="Y13" i="1"/>
  <c r="C14" i="1"/>
  <c r="D14" i="1"/>
  <c r="E14" i="1"/>
  <c r="F14" i="1"/>
  <c r="G14" i="1"/>
  <c r="H14" i="1"/>
  <c r="I14" i="1"/>
  <c r="J14" i="1"/>
  <c r="K14" i="1"/>
  <c r="L14" i="1"/>
  <c r="M14" i="1"/>
  <c r="N14" i="1"/>
  <c r="O14" i="1"/>
  <c r="P14" i="1"/>
  <c r="Q14" i="1"/>
  <c r="R14" i="1"/>
  <c r="S14" i="1"/>
  <c r="T14" i="1"/>
  <c r="U14" i="1"/>
  <c r="V14" i="1"/>
  <c r="W14" i="1"/>
  <c r="X14" i="1"/>
  <c r="Y14" i="1"/>
  <c r="C25" i="1"/>
  <c r="D25" i="1"/>
  <c r="E25" i="1"/>
  <c r="F25" i="1"/>
  <c r="G25" i="1"/>
  <c r="H25" i="1"/>
  <c r="I25" i="1"/>
  <c r="J25" i="1"/>
  <c r="K25" i="1"/>
  <c r="L25" i="1"/>
  <c r="M25" i="1"/>
  <c r="N25" i="1"/>
  <c r="O25" i="1"/>
  <c r="P25" i="1"/>
  <c r="Q25" i="1"/>
  <c r="R25" i="1"/>
  <c r="S25" i="1"/>
  <c r="T25" i="1"/>
  <c r="U25" i="1"/>
  <c r="V25" i="1"/>
  <c r="W25" i="1"/>
  <c r="X25" i="1"/>
  <c r="Y25" i="1"/>
  <c r="C26" i="1"/>
  <c r="D26" i="1"/>
  <c r="E26" i="1"/>
  <c r="F26" i="1"/>
  <c r="G26" i="1"/>
  <c r="H26" i="1"/>
  <c r="I26" i="1"/>
  <c r="J26" i="1"/>
  <c r="K26" i="1"/>
  <c r="L26" i="1"/>
  <c r="M26" i="1"/>
  <c r="N26" i="1"/>
  <c r="O26" i="1"/>
  <c r="P26" i="1"/>
  <c r="Q26" i="1"/>
  <c r="R26" i="1"/>
  <c r="S26" i="1"/>
  <c r="T26" i="1"/>
  <c r="U26" i="1"/>
  <c r="V26" i="1"/>
  <c r="W26" i="1"/>
  <c r="X26" i="1"/>
  <c r="Y26" i="1"/>
  <c r="C27" i="1"/>
  <c r="D27" i="1"/>
  <c r="E27" i="1"/>
  <c r="F27" i="1"/>
  <c r="G27" i="1"/>
  <c r="H27" i="1"/>
  <c r="I27" i="1"/>
  <c r="J27" i="1"/>
  <c r="K27" i="1"/>
  <c r="L27" i="1"/>
  <c r="M27" i="1"/>
  <c r="N27" i="1"/>
  <c r="O27" i="1"/>
  <c r="P27" i="1"/>
  <c r="Q27" i="1"/>
  <c r="R27" i="1"/>
  <c r="S27" i="1"/>
  <c r="T27" i="1"/>
  <c r="U27" i="1"/>
  <c r="V27" i="1"/>
  <c r="W27" i="1"/>
  <c r="X27" i="1"/>
  <c r="Y27" i="1"/>
  <c r="C28" i="1"/>
  <c r="D28" i="1"/>
  <c r="E28" i="1"/>
  <c r="F28" i="1"/>
  <c r="G28" i="1"/>
  <c r="H28" i="1"/>
  <c r="I28" i="1"/>
  <c r="J28" i="1"/>
  <c r="K28" i="1"/>
  <c r="L28" i="1"/>
  <c r="M28" i="1"/>
  <c r="N28" i="1"/>
  <c r="O28" i="1"/>
  <c r="P28" i="1"/>
  <c r="Q28" i="1"/>
  <c r="R28" i="1"/>
  <c r="S28" i="1"/>
  <c r="T28" i="1"/>
  <c r="U28" i="1"/>
  <c r="V28" i="1"/>
  <c r="W28" i="1"/>
  <c r="X28" i="1"/>
  <c r="Y28" i="1"/>
  <c r="C29" i="1"/>
  <c r="D29" i="1"/>
  <c r="E29" i="1"/>
  <c r="F29" i="1"/>
  <c r="G29" i="1"/>
  <c r="H29" i="1"/>
  <c r="I29" i="1"/>
  <c r="J29" i="1"/>
  <c r="K29" i="1"/>
  <c r="L29" i="1"/>
  <c r="M29" i="1"/>
  <c r="N29" i="1"/>
  <c r="O29" i="1"/>
  <c r="P29" i="1"/>
  <c r="Q29" i="1"/>
  <c r="R29" i="1"/>
  <c r="S29" i="1"/>
  <c r="T29" i="1"/>
  <c r="U29" i="1"/>
  <c r="V29" i="1"/>
  <c r="W29" i="1"/>
  <c r="X29" i="1"/>
  <c r="Y29" i="1"/>
  <c r="C42" i="1"/>
  <c r="D42" i="1"/>
  <c r="E42" i="1"/>
  <c r="F42" i="1"/>
  <c r="G42" i="1"/>
  <c r="H42" i="1"/>
  <c r="I42" i="1"/>
  <c r="J42" i="1"/>
  <c r="K42" i="1"/>
  <c r="L42" i="1"/>
  <c r="M42" i="1"/>
  <c r="N42" i="1"/>
  <c r="O42" i="1"/>
  <c r="P42" i="1"/>
  <c r="Q42" i="1"/>
  <c r="R42" i="1"/>
  <c r="S42" i="1"/>
  <c r="T42" i="1"/>
  <c r="U42" i="1"/>
  <c r="V42" i="1"/>
  <c r="W42" i="1"/>
  <c r="X42" i="1"/>
  <c r="Y42" i="1"/>
  <c r="B6" i="1"/>
  <c r="B8" i="1"/>
  <c r="B9" i="1"/>
  <c r="B11" i="1"/>
  <c r="B12" i="1"/>
  <c r="B13" i="1"/>
  <c r="B14" i="1"/>
  <c r="B25" i="1"/>
  <c r="B26" i="1"/>
  <c r="B27" i="1"/>
  <c r="B28" i="1"/>
  <c r="B29" i="1"/>
  <c r="B42" i="1"/>
  <c r="A36" i="1"/>
  <c r="A37" i="1"/>
  <c r="A38" i="1"/>
  <c r="A39" i="1"/>
  <c r="A40" i="1"/>
  <c r="A41" i="1"/>
  <c r="A42" i="1"/>
  <c r="A43" i="1"/>
  <c r="A44" i="1"/>
  <c r="A45" i="1"/>
  <c r="A6" i="1"/>
  <c r="A7" i="1"/>
  <c r="A8" i="1"/>
  <c r="A9" i="1"/>
  <c r="A11" i="1"/>
  <c r="A12" i="1"/>
  <c r="A13" i="1"/>
  <c r="A14" i="1"/>
  <c r="A16" i="1"/>
  <c r="A17" i="1"/>
  <c r="A18" i="1"/>
  <c r="A19" i="1"/>
  <c r="A20" i="1"/>
  <c r="A21" i="1"/>
  <c r="A22" i="1"/>
  <c r="A23" i="1"/>
  <c r="A25" i="1"/>
  <c r="A26" i="1"/>
  <c r="A27" i="1"/>
  <c r="A28" i="1"/>
  <c r="A29" i="1"/>
  <c r="A31" i="1"/>
  <c r="A32" i="1"/>
  <c r="A4" i="1"/>
  <c r="C72" i="14"/>
  <c r="B4" i="1" s="1"/>
  <c r="I49" i="18" l="1"/>
  <c r="I55" i="18"/>
  <c r="I56" i="18"/>
  <c r="I33" i="18"/>
  <c r="I48" i="18" s="1"/>
  <c r="I34" i="18"/>
  <c r="I35" i="18"/>
  <c r="I36" i="18"/>
  <c r="I51" i="18" s="1"/>
  <c r="I37" i="18"/>
  <c r="I52" i="18" s="1"/>
  <c r="I38" i="18"/>
  <c r="I39" i="18"/>
  <c r="I54" i="18" s="1"/>
  <c r="I40" i="18"/>
  <c r="I41" i="18"/>
  <c r="I32" i="18"/>
  <c r="E47" i="18"/>
  <c r="F47" i="18"/>
  <c r="G47" i="18"/>
  <c r="H47" i="18"/>
  <c r="E48" i="18"/>
  <c r="F48" i="18"/>
  <c r="G48" i="18"/>
  <c r="H48" i="18"/>
  <c r="E49" i="18"/>
  <c r="F49" i="18"/>
  <c r="G49" i="18"/>
  <c r="H49" i="18"/>
  <c r="E51" i="18"/>
  <c r="F51" i="18"/>
  <c r="G51" i="18"/>
  <c r="H51" i="18"/>
  <c r="E52" i="18"/>
  <c r="F52" i="18"/>
  <c r="G52" i="18"/>
  <c r="H52" i="18"/>
  <c r="E54" i="18"/>
  <c r="F54" i="18"/>
  <c r="G54" i="18"/>
  <c r="H54" i="18"/>
  <c r="E55" i="18"/>
  <c r="F55" i="18"/>
  <c r="G55" i="18"/>
  <c r="H55" i="18"/>
  <c r="E56" i="18"/>
  <c r="F56" i="18"/>
  <c r="G56" i="18"/>
  <c r="H56" i="18"/>
  <c r="D54" i="18"/>
  <c r="D51" i="18"/>
  <c r="D56" i="18"/>
  <c r="D55" i="18"/>
  <c r="D52" i="18"/>
  <c r="D49" i="18"/>
  <c r="D48" i="18"/>
  <c r="D47" i="18"/>
  <c r="I47" i="18" l="1"/>
  <c r="F25" i="18"/>
  <c r="G25" i="18"/>
  <c r="H25" i="18"/>
  <c r="I25" i="18"/>
  <c r="J25" i="18"/>
  <c r="K25" i="18"/>
  <c r="L25" i="18"/>
  <c r="M25" i="18"/>
  <c r="N25" i="18"/>
  <c r="O25" i="18"/>
  <c r="F26" i="18"/>
  <c r="G26" i="18"/>
  <c r="H26" i="18"/>
  <c r="I26" i="18"/>
  <c r="J26" i="18"/>
  <c r="K26" i="18"/>
  <c r="L26" i="18"/>
  <c r="M26" i="18"/>
  <c r="N26" i="18"/>
  <c r="O26" i="18"/>
  <c r="F27" i="18"/>
  <c r="G27" i="18"/>
  <c r="H27" i="18"/>
  <c r="I27" i="18"/>
  <c r="J27" i="18"/>
  <c r="K27" i="18"/>
  <c r="L27" i="18"/>
  <c r="M27" i="18"/>
  <c r="N27" i="18"/>
  <c r="O27" i="18"/>
  <c r="F28" i="18"/>
  <c r="G28" i="18"/>
  <c r="H28" i="18"/>
  <c r="I28" i="18"/>
  <c r="J28" i="18"/>
  <c r="K28" i="18"/>
  <c r="L28" i="18"/>
  <c r="M28" i="18"/>
  <c r="N28" i="18"/>
  <c r="O28" i="18"/>
  <c r="E28" i="18"/>
  <c r="E27" i="18"/>
  <c r="E26" i="18"/>
  <c r="E25" i="18"/>
  <c r="F24" i="18"/>
  <c r="G24" i="18"/>
  <c r="H24" i="18"/>
  <c r="I24" i="18"/>
  <c r="J24" i="18"/>
  <c r="K24" i="18"/>
  <c r="L24" i="18"/>
  <c r="M24" i="18"/>
  <c r="N24" i="18"/>
  <c r="O24" i="18"/>
  <c r="E24" i="18"/>
  <c r="D6" i="17" l="1"/>
  <c r="E6" i="17"/>
  <c r="J6" i="17"/>
  <c r="K6" i="17"/>
  <c r="E7" i="17"/>
  <c r="F7" i="17"/>
  <c r="K7" i="17"/>
  <c r="L7" i="17"/>
  <c r="G8" i="17"/>
  <c r="M8" i="17"/>
  <c r="B9" i="17"/>
  <c r="B10" i="17"/>
  <c r="C10" i="17"/>
  <c r="D10" i="17"/>
  <c r="E10" i="17"/>
  <c r="F10" i="17"/>
  <c r="G10" i="17"/>
  <c r="H10" i="17"/>
  <c r="I10" i="17"/>
  <c r="J10" i="17"/>
  <c r="K10" i="17"/>
  <c r="L10" i="17"/>
  <c r="M10" i="17"/>
  <c r="B17" i="17"/>
  <c r="C18" i="17"/>
  <c r="D18" i="17"/>
  <c r="E18" i="17"/>
  <c r="F18" i="17"/>
  <c r="G18" i="17"/>
  <c r="H18" i="17"/>
  <c r="I18" i="17"/>
  <c r="J18" i="17"/>
  <c r="K18" i="17"/>
  <c r="L18" i="17"/>
  <c r="M18" i="17"/>
  <c r="B20" i="17"/>
  <c r="C20" i="17"/>
  <c r="D20" i="17"/>
  <c r="E20" i="17"/>
  <c r="F20" i="17"/>
  <c r="G20" i="17"/>
  <c r="H20" i="17"/>
  <c r="I20" i="17"/>
  <c r="J20" i="17"/>
  <c r="K20" i="17"/>
  <c r="L20" i="17"/>
  <c r="M20" i="17"/>
  <c r="E22" i="17"/>
  <c r="F22" i="17"/>
  <c r="F8" i="17" s="1"/>
  <c r="G22" i="17"/>
  <c r="H22" i="17"/>
  <c r="I22" i="17"/>
  <c r="J22" i="17"/>
  <c r="J26" i="17" s="1"/>
  <c r="J12" i="17" s="1"/>
  <c r="K22" i="17"/>
  <c r="K25" i="17" s="1"/>
  <c r="K11" i="17" s="1"/>
  <c r="L22" i="17"/>
  <c r="L26" i="17" s="1"/>
  <c r="L12" i="17" s="1"/>
  <c r="M22" i="17"/>
  <c r="C23" i="17"/>
  <c r="C9" i="17" s="1"/>
  <c r="D23" i="17"/>
  <c r="D9" i="17" s="1"/>
  <c r="E23" i="17"/>
  <c r="E9" i="17" s="1"/>
  <c r="F23" i="17"/>
  <c r="F9" i="17" s="1"/>
  <c r="G23" i="17"/>
  <c r="G9" i="17" s="1"/>
  <c r="H23" i="17"/>
  <c r="H9" i="17" s="1"/>
  <c r="I23" i="17"/>
  <c r="I9" i="17" s="1"/>
  <c r="J23" i="17"/>
  <c r="J9" i="17" s="1"/>
  <c r="K23" i="17"/>
  <c r="K9" i="17" s="1"/>
  <c r="L23" i="17"/>
  <c r="L9" i="17" s="1"/>
  <c r="M23" i="17"/>
  <c r="M9" i="17" s="1"/>
  <c r="E28" i="17"/>
  <c r="I28" i="17"/>
  <c r="I29" i="17" s="1"/>
  <c r="E29" i="17"/>
  <c r="B35" i="17"/>
  <c r="C6" i="17" s="1"/>
  <c r="B52" i="17"/>
  <c r="C52" i="17"/>
  <c r="D52" i="17"/>
  <c r="E52" i="17"/>
  <c r="F52" i="17"/>
  <c r="G52" i="17"/>
  <c r="H52" i="17"/>
  <c r="I52" i="17"/>
  <c r="J52" i="17"/>
  <c r="K52" i="17"/>
  <c r="L52" i="17"/>
  <c r="M52" i="17"/>
  <c r="C25" i="17" l="1"/>
  <c r="C11" i="17" s="1"/>
  <c r="F25" i="17"/>
  <c r="F11" i="17" s="1"/>
  <c r="C7" i="17"/>
  <c r="E25" i="17"/>
  <c r="E11" i="17" s="1"/>
  <c r="B7" i="17"/>
  <c r="I8" i="17"/>
  <c r="C8" i="17"/>
  <c r="H7" i="17"/>
  <c r="H13" i="17" s="1"/>
  <c r="M6" i="17"/>
  <c r="G6" i="17"/>
  <c r="L8" i="17"/>
  <c r="J8" i="17"/>
  <c r="D8" i="17"/>
  <c r="I7" i="17"/>
  <c r="H6" i="17"/>
  <c r="D25" i="17"/>
  <c r="D11" i="17" s="1"/>
  <c r="B8" i="17"/>
  <c r="H8" i="17"/>
  <c r="M7" i="17"/>
  <c r="G7" i="17"/>
  <c r="L6" i="17"/>
  <c r="F6" i="17"/>
  <c r="G25" i="17"/>
  <c r="G11" i="17" s="1"/>
  <c r="K8" i="17"/>
  <c r="K13" i="17" s="1"/>
  <c r="E8" i="17"/>
  <c r="J7" i="17"/>
  <c r="D7" i="17"/>
  <c r="I6" i="17"/>
  <c r="I13" i="17" s="1"/>
  <c r="M26" i="17"/>
  <c r="M12" i="17" s="1"/>
  <c r="M25" i="17"/>
  <c r="M11" i="17" s="1"/>
  <c r="L25" i="17"/>
  <c r="L11" i="17" s="1"/>
  <c r="K26" i="17"/>
  <c r="K12" i="17" s="1"/>
  <c r="J25" i="17"/>
  <c r="J11" i="17" s="1"/>
  <c r="I26" i="17"/>
  <c r="I12" i="17" s="1"/>
  <c r="G13" i="17"/>
  <c r="I30" i="17"/>
  <c r="F26" i="17"/>
  <c r="F12" i="17" s="1"/>
  <c r="B18" i="17"/>
  <c r="B6" i="17" s="1"/>
  <c r="F13" i="17"/>
  <c r="J13" i="17"/>
  <c r="I25" i="17"/>
  <c r="I11" i="17" s="1"/>
  <c r="G26" i="17"/>
  <c r="G12" i="17" s="1"/>
  <c r="E26" i="17"/>
  <c r="E12" i="17" s="1"/>
  <c r="H25" i="17"/>
  <c r="H11" i="17" s="1"/>
  <c r="D26" i="17"/>
  <c r="D12" i="17" s="1"/>
  <c r="L13" i="17"/>
  <c r="H26" i="17"/>
  <c r="H12" i="17" s="1"/>
  <c r="C26" i="17"/>
  <c r="C12" i="17" s="1"/>
  <c r="M13" i="17" l="1"/>
  <c r="M14" i="17"/>
  <c r="D13" i="17"/>
  <c r="I14" i="17"/>
  <c r="B25" i="17"/>
  <c r="B11" i="17" s="1"/>
  <c r="B26" i="17"/>
  <c r="B12" i="17" s="1"/>
  <c r="C13" i="17"/>
  <c r="E13" i="17"/>
  <c r="B13" i="17"/>
  <c r="E14" i="17" l="1"/>
  <c r="D75" i="14" l="1"/>
  <c r="C7" i="1" s="1"/>
  <c r="E75" i="14"/>
  <c r="D7" i="1" s="1"/>
  <c r="F75" i="14"/>
  <c r="E7" i="1" s="1"/>
  <c r="G75" i="14"/>
  <c r="F7" i="1" s="1"/>
  <c r="H75" i="14"/>
  <c r="G7" i="1" s="1"/>
  <c r="I75" i="14"/>
  <c r="H7" i="1" s="1"/>
  <c r="J75" i="14"/>
  <c r="I7" i="1" s="1"/>
  <c r="K75" i="14"/>
  <c r="J7" i="1" s="1"/>
  <c r="L75" i="14"/>
  <c r="K7" i="1" s="1"/>
  <c r="M75" i="14"/>
  <c r="L7" i="1" s="1"/>
  <c r="N75" i="14"/>
  <c r="M7" i="1" s="1"/>
  <c r="O75" i="14"/>
  <c r="N7" i="1" s="1"/>
  <c r="P75" i="14"/>
  <c r="O7" i="1" s="1"/>
  <c r="Q75" i="14"/>
  <c r="P7" i="1" s="1"/>
  <c r="R75" i="14"/>
  <c r="Q7" i="1" s="1"/>
  <c r="S75" i="14"/>
  <c r="R7" i="1" s="1"/>
  <c r="T75" i="14"/>
  <c r="S7" i="1" s="1"/>
  <c r="U75" i="14"/>
  <c r="T7" i="1" s="1"/>
  <c r="V75" i="14"/>
  <c r="U7" i="1" s="1"/>
  <c r="W75" i="14"/>
  <c r="V7" i="1" s="1"/>
  <c r="X75" i="14"/>
  <c r="W7" i="1" s="1"/>
  <c r="Y75" i="14"/>
  <c r="X7" i="1" s="1"/>
  <c r="Z75" i="14"/>
  <c r="Y7" i="1" s="1"/>
  <c r="C87" i="14"/>
  <c r="C89" i="14"/>
  <c r="C88" i="14"/>
  <c r="C86" i="14"/>
  <c r="C85" i="14"/>
  <c r="C84" i="14"/>
  <c r="C75" i="14"/>
  <c r="B7" i="1" s="1"/>
  <c r="D87" i="14" l="1"/>
  <c r="B19" i="1"/>
  <c r="D85" i="14"/>
  <c r="B17" i="1"/>
  <c r="D88" i="14"/>
  <c r="B20" i="1"/>
  <c r="D84" i="14"/>
  <c r="B16" i="1"/>
  <c r="D86" i="14"/>
  <c r="B18" i="1"/>
  <c r="D89" i="14"/>
  <c r="B21" i="1"/>
  <c r="C43" i="14"/>
  <c r="C49" i="14"/>
  <c r="C50" i="14"/>
  <c r="C51" i="14"/>
  <c r="C47" i="14"/>
  <c r="D26" i="14"/>
  <c r="E26" i="14" s="1"/>
  <c r="E25" i="14"/>
  <c r="D21" i="14"/>
  <c r="E21" i="14" s="1"/>
  <c r="F21" i="14" s="1"/>
  <c r="G21" i="14" s="1"/>
  <c r="H21" i="14" s="1"/>
  <c r="I21" i="14" s="1"/>
  <c r="J21" i="14" s="1"/>
  <c r="K21" i="14" s="1"/>
  <c r="L21" i="14" s="1"/>
  <c r="M21" i="14" s="1"/>
  <c r="N21" i="14" s="1"/>
  <c r="O21" i="14" s="1"/>
  <c r="P21" i="14" s="1"/>
  <c r="Q21" i="14" s="1"/>
  <c r="R21" i="14" s="1"/>
  <c r="S21" i="14" s="1"/>
  <c r="T21" i="14" s="1"/>
  <c r="U21" i="14" s="1"/>
  <c r="V21" i="14" s="1"/>
  <c r="W21" i="14" s="1"/>
  <c r="X21" i="14" s="1"/>
  <c r="Y21" i="14" s="1"/>
  <c r="Z21" i="14" s="1"/>
  <c r="D20" i="14"/>
  <c r="E20" i="14" s="1"/>
  <c r="F20" i="14" s="1"/>
  <c r="G20" i="14" s="1"/>
  <c r="H20" i="14" s="1"/>
  <c r="I20" i="14" s="1"/>
  <c r="J20" i="14" s="1"/>
  <c r="K20" i="14" s="1"/>
  <c r="L20" i="14" s="1"/>
  <c r="M20" i="14" s="1"/>
  <c r="N20" i="14" s="1"/>
  <c r="O20" i="14" s="1"/>
  <c r="P20" i="14" s="1"/>
  <c r="Q20" i="14" s="1"/>
  <c r="R20" i="14" s="1"/>
  <c r="S20" i="14" s="1"/>
  <c r="T20" i="14" s="1"/>
  <c r="U20" i="14" s="1"/>
  <c r="V20" i="14" s="1"/>
  <c r="W20" i="14" s="1"/>
  <c r="X20" i="14" s="1"/>
  <c r="Y20" i="14" s="1"/>
  <c r="Z20" i="14" s="1"/>
  <c r="E89" i="14" l="1"/>
  <c r="C21" i="1"/>
  <c r="E84" i="14"/>
  <c r="C16" i="1"/>
  <c r="E86" i="14"/>
  <c r="C18" i="1"/>
  <c r="E85" i="14"/>
  <c r="C17" i="1"/>
  <c r="E88" i="14"/>
  <c r="C20" i="1"/>
  <c r="E87" i="14"/>
  <c r="C19" i="1"/>
  <c r="C44" i="14"/>
  <c r="F87" i="14" l="1"/>
  <c r="D19" i="1"/>
  <c r="F88" i="14"/>
  <c r="D20" i="1"/>
  <c r="F86" i="14"/>
  <c r="D18" i="1"/>
  <c r="F85" i="14"/>
  <c r="D17" i="1"/>
  <c r="F84" i="14"/>
  <c r="D16" i="1"/>
  <c r="F89" i="14"/>
  <c r="D21" i="1"/>
  <c r="F3" i="14"/>
  <c r="G3" i="14" s="1"/>
  <c r="H3" i="14" s="1"/>
  <c r="F4" i="14"/>
  <c r="G4" i="14" s="1"/>
  <c r="H4" i="14" s="1"/>
  <c r="F2" i="14"/>
  <c r="G2" i="14" s="1"/>
  <c r="H2" i="14" s="1"/>
  <c r="C3" i="14"/>
  <c r="D3" i="14" s="1"/>
  <c r="C4" i="14"/>
  <c r="D4" i="14" s="1"/>
  <c r="C2" i="14"/>
  <c r="D2" i="14" s="1"/>
  <c r="C10" i="14"/>
  <c r="D10" i="14" s="1"/>
  <c r="E10" i="14" s="1"/>
  <c r="F10" i="14" s="1"/>
  <c r="G10" i="14" s="1"/>
  <c r="H10" i="14" s="1"/>
  <c r="I10" i="14" s="1"/>
  <c r="J10" i="14" s="1"/>
  <c r="K10" i="14" s="1"/>
  <c r="L10" i="14" s="1"/>
  <c r="M10" i="14" s="1"/>
  <c r="N10" i="14" s="1"/>
  <c r="O10" i="14" s="1"/>
  <c r="P10" i="14" s="1"/>
  <c r="Q10" i="14" s="1"/>
  <c r="R10" i="14" s="1"/>
  <c r="S10" i="14" s="1"/>
  <c r="T10" i="14" s="1"/>
  <c r="U10" i="14" s="1"/>
  <c r="V10" i="14" s="1"/>
  <c r="W10" i="14" s="1"/>
  <c r="X10" i="14" s="1"/>
  <c r="Y10" i="14" s="1"/>
  <c r="Z10" i="14" s="1"/>
  <c r="Z31" i="14" s="1"/>
  <c r="Z16" i="14" s="1"/>
  <c r="C11" i="14"/>
  <c r="D11" i="14" s="1"/>
  <c r="E11" i="14" s="1"/>
  <c r="F11" i="14" s="1"/>
  <c r="G11" i="14" s="1"/>
  <c r="H11" i="14" s="1"/>
  <c r="I11" i="14" s="1"/>
  <c r="J11" i="14" s="1"/>
  <c r="K11" i="14" s="1"/>
  <c r="L11" i="14" s="1"/>
  <c r="M11" i="14" s="1"/>
  <c r="N11" i="14" s="1"/>
  <c r="O11" i="14" s="1"/>
  <c r="P11" i="14" s="1"/>
  <c r="Q11" i="14" s="1"/>
  <c r="R11" i="14" s="1"/>
  <c r="S11" i="14" s="1"/>
  <c r="T11" i="14" s="1"/>
  <c r="U11" i="14" s="1"/>
  <c r="V11" i="14" s="1"/>
  <c r="W11" i="14" s="1"/>
  <c r="X11" i="14" s="1"/>
  <c r="Y11" i="14" s="1"/>
  <c r="Z11" i="14" s="1"/>
  <c r="C9" i="14"/>
  <c r="G89" i="14" l="1"/>
  <c r="E21" i="1"/>
  <c r="G84" i="14"/>
  <c r="E16" i="1"/>
  <c r="G85" i="14"/>
  <c r="E17" i="1"/>
  <c r="G86" i="14"/>
  <c r="E18" i="1"/>
  <c r="G88" i="14"/>
  <c r="E20" i="1"/>
  <c r="G87" i="14"/>
  <c r="E19" i="1"/>
  <c r="D9" i="14"/>
  <c r="C91" i="14"/>
  <c r="B23" i="1" s="1"/>
  <c r="N31" i="14"/>
  <c r="N16" i="14" s="1"/>
  <c r="Y31" i="14"/>
  <c r="Y16" i="14" s="1"/>
  <c r="M31" i="14"/>
  <c r="M16" i="14" s="1"/>
  <c r="X31" i="14"/>
  <c r="X16" i="14" s="1"/>
  <c r="L31" i="14"/>
  <c r="L16" i="14" s="1"/>
  <c r="K31" i="14"/>
  <c r="K16" i="14" s="1"/>
  <c r="J31" i="14"/>
  <c r="J16" i="14" s="1"/>
  <c r="W31" i="14"/>
  <c r="W16" i="14" s="1"/>
  <c r="U31" i="14"/>
  <c r="U16" i="14" s="1"/>
  <c r="I31" i="14"/>
  <c r="I16" i="14" s="1"/>
  <c r="V31" i="14"/>
  <c r="V16" i="14" s="1"/>
  <c r="T31" i="14"/>
  <c r="T16" i="14" s="1"/>
  <c r="H31" i="14"/>
  <c r="H16" i="14" s="1"/>
  <c r="C31" i="14"/>
  <c r="S31" i="14"/>
  <c r="S16" i="14" s="1"/>
  <c r="G31" i="14"/>
  <c r="G16" i="14" s="1"/>
  <c r="R31" i="14"/>
  <c r="R16" i="14" s="1"/>
  <c r="F31" i="14"/>
  <c r="F16" i="14" s="1"/>
  <c r="E31" i="14"/>
  <c r="E16" i="14" s="1"/>
  <c r="Q31" i="14"/>
  <c r="Q16" i="14" s="1"/>
  <c r="P31" i="14"/>
  <c r="P16" i="14" s="1"/>
  <c r="D31" i="14"/>
  <c r="D16" i="14" s="1"/>
  <c r="O31" i="14"/>
  <c r="O16" i="14" s="1"/>
  <c r="H85" i="14" l="1"/>
  <c r="F17" i="1"/>
  <c r="H84" i="14"/>
  <c r="F16" i="1"/>
  <c r="H87" i="14"/>
  <c r="F19" i="1"/>
  <c r="H88" i="14"/>
  <c r="F20" i="1"/>
  <c r="H86" i="14"/>
  <c r="F18" i="1"/>
  <c r="H89" i="14"/>
  <c r="F21" i="1"/>
  <c r="C90" i="14"/>
  <c r="B22" i="1" s="1"/>
  <c r="C102" i="14"/>
  <c r="E9" i="14"/>
  <c r="D91" i="14"/>
  <c r="C23" i="1" s="1"/>
  <c r="C16" i="14"/>
  <c r="I89" i="14" l="1"/>
  <c r="G21" i="1"/>
  <c r="I86" i="14"/>
  <c r="G18" i="1"/>
  <c r="I87" i="14"/>
  <c r="G19" i="1"/>
  <c r="I88" i="14"/>
  <c r="G20" i="1"/>
  <c r="I84" i="14"/>
  <c r="G16" i="1"/>
  <c r="C101" i="14"/>
  <c r="B33" i="1" s="1"/>
  <c r="B34" i="1"/>
  <c r="I85" i="14"/>
  <c r="G17" i="1"/>
  <c r="D90" i="14"/>
  <c r="C22" i="1" s="1"/>
  <c r="D102" i="14"/>
  <c r="F9" i="14"/>
  <c r="E91" i="14"/>
  <c r="D23" i="1" s="1"/>
  <c r="J88" i="14" l="1"/>
  <c r="H20" i="1"/>
  <c r="D101" i="14"/>
  <c r="C33" i="1" s="1"/>
  <c r="C34" i="1"/>
  <c r="J84" i="14"/>
  <c r="H16" i="1"/>
  <c r="J87" i="14"/>
  <c r="H19" i="1"/>
  <c r="J86" i="14"/>
  <c r="H18" i="1"/>
  <c r="J85" i="14"/>
  <c r="H17" i="1"/>
  <c r="J89" i="14"/>
  <c r="H21" i="1"/>
  <c r="E90" i="14"/>
  <c r="D22" i="1" s="1"/>
  <c r="E102" i="14"/>
  <c r="G9" i="14"/>
  <c r="F91" i="14"/>
  <c r="E23" i="1" s="1"/>
  <c r="I36" i="13"/>
  <c r="J36" i="13" s="1"/>
  <c r="J35" i="13"/>
  <c r="K35" i="13" s="1"/>
  <c r="H28" i="13"/>
  <c r="H25" i="13" s="1"/>
  <c r="Z25" i="13"/>
  <c r="Y25" i="13"/>
  <c r="X25" i="13"/>
  <c r="W25" i="13"/>
  <c r="V25" i="13"/>
  <c r="U25" i="13"/>
  <c r="T25" i="13"/>
  <c r="S25" i="13"/>
  <c r="R25" i="13"/>
  <c r="Q25" i="13"/>
  <c r="P25" i="13"/>
  <c r="O25" i="13"/>
  <c r="N25" i="13"/>
  <c r="M25" i="13"/>
  <c r="L25" i="13"/>
  <c r="K25" i="13"/>
  <c r="J25" i="13"/>
  <c r="I25" i="13"/>
  <c r="I13" i="13" s="1"/>
  <c r="G25" i="13"/>
  <c r="G14" i="13" s="1"/>
  <c r="F25" i="13"/>
  <c r="F11" i="13" s="1"/>
  <c r="E25" i="13"/>
  <c r="E12" i="13" s="1"/>
  <c r="D25" i="13"/>
  <c r="C25" i="13"/>
  <c r="C14" i="13" s="1"/>
  <c r="E21" i="13"/>
  <c r="F14" i="13"/>
  <c r="D14" i="13"/>
  <c r="G13" i="13"/>
  <c r="D13" i="13"/>
  <c r="F12" i="13"/>
  <c r="D12" i="13"/>
  <c r="I11" i="13"/>
  <c r="D11" i="13"/>
  <c r="C3" i="13"/>
  <c r="D3" i="13" s="1"/>
  <c r="E3" i="13" s="1"/>
  <c r="F3" i="13" s="1"/>
  <c r="G3" i="13" s="1"/>
  <c r="H3" i="13" s="1"/>
  <c r="I3" i="13" s="1"/>
  <c r="J3" i="13" s="1"/>
  <c r="K3" i="13" s="1"/>
  <c r="L3" i="13" s="1"/>
  <c r="M3" i="13" s="1"/>
  <c r="N3" i="13" s="1"/>
  <c r="O3" i="13" s="1"/>
  <c r="P3" i="13" s="1"/>
  <c r="Q3" i="13" s="1"/>
  <c r="R3" i="13" s="1"/>
  <c r="S3" i="13" s="1"/>
  <c r="T3" i="13" s="1"/>
  <c r="U3" i="13" s="1"/>
  <c r="V3" i="13" s="1"/>
  <c r="W3" i="13" s="1"/>
  <c r="X3" i="13" s="1"/>
  <c r="Y3" i="13" s="1"/>
  <c r="Z3" i="13" s="1"/>
  <c r="AA3" i="13" s="1"/>
  <c r="AB3" i="13" s="1"/>
  <c r="AC3" i="13" s="1"/>
  <c r="AD3" i="13" s="1"/>
  <c r="AE3" i="13" s="1"/>
  <c r="AF3" i="13" s="1"/>
  <c r="AG3" i="13" s="1"/>
  <c r="AH3" i="13" s="1"/>
  <c r="AI3" i="13" s="1"/>
  <c r="AJ3" i="13" s="1"/>
  <c r="AK3" i="13" s="1"/>
  <c r="AL3" i="13" s="1"/>
  <c r="F13" i="13" l="1"/>
  <c r="K85" i="14"/>
  <c r="I17" i="1"/>
  <c r="K87" i="14"/>
  <c r="I19" i="1"/>
  <c r="E101" i="14"/>
  <c r="D33" i="1" s="1"/>
  <c r="D34" i="1"/>
  <c r="K86" i="14"/>
  <c r="I18" i="1"/>
  <c r="K84" i="14"/>
  <c r="I16" i="1"/>
  <c r="K89" i="14"/>
  <c r="I21" i="1"/>
  <c r="K88" i="14"/>
  <c r="I20" i="1"/>
  <c r="F90" i="14"/>
  <c r="E22" i="1" s="1"/>
  <c r="F102" i="14"/>
  <c r="H9" i="14"/>
  <c r="G91" i="14"/>
  <c r="F23" i="1" s="1"/>
  <c r="E11" i="13"/>
  <c r="I12" i="13"/>
  <c r="I14" i="13"/>
  <c r="K36" i="13"/>
  <c r="K14" i="13" s="1"/>
  <c r="J12" i="13"/>
  <c r="J11" i="13"/>
  <c r="J13" i="13"/>
  <c r="G11" i="13"/>
  <c r="G12" i="13"/>
  <c r="J14" i="13"/>
  <c r="E14" i="13"/>
  <c r="H14" i="13"/>
  <c r="H13" i="13"/>
  <c r="H12" i="13"/>
  <c r="H11" i="13"/>
  <c r="L36" i="13"/>
  <c r="M36" i="13" s="1"/>
  <c r="N36" i="13" s="1"/>
  <c r="O36" i="13" s="1"/>
  <c r="P36" i="13" s="1"/>
  <c r="Q36" i="13" s="1"/>
  <c r="R36" i="13" s="1"/>
  <c r="S36" i="13" s="1"/>
  <c r="T36" i="13" s="1"/>
  <c r="U36" i="13" s="1"/>
  <c r="V36" i="13" s="1"/>
  <c r="W36" i="13" s="1"/>
  <c r="X36" i="13" s="1"/>
  <c r="Y36" i="13" s="1"/>
  <c r="Z36" i="13" s="1"/>
  <c r="AA36" i="13" s="1"/>
  <c r="AB36" i="13" s="1"/>
  <c r="AC36" i="13" s="1"/>
  <c r="AD36" i="13" s="1"/>
  <c r="AE36" i="13" s="1"/>
  <c r="AF36" i="13" s="1"/>
  <c r="AG36" i="13" s="1"/>
  <c r="AH36" i="13" s="1"/>
  <c r="AI36" i="13" s="1"/>
  <c r="AJ36" i="13" s="1"/>
  <c r="AK36" i="13" s="1"/>
  <c r="AL36" i="13" s="1"/>
  <c r="K12" i="13"/>
  <c r="K11" i="13"/>
  <c r="E13" i="13"/>
  <c r="L35" i="13"/>
  <c r="M35" i="13" s="1"/>
  <c r="K13" i="13"/>
  <c r="C11" i="13"/>
  <c r="C12" i="13"/>
  <c r="C13" i="13"/>
  <c r="L84" i="14" l="1"/>
  <c r="J16" i="1"/>
  <c r="F101" i="14"/>
  <c r="E33" i="1" s="1"/>
  <c r="E34" i="1"/>
  <c r="L89" i="14"/>
  <c r="J21" i="1"/>
  <c r="L86" i="14"/>
  <c r="J18" i="1"/>
  <c r="L87" i="14"/>
  <c r="J19" i="1"/>
  <c r="L88" i="14"/>
  <c r="J20" i="1"/>
  <c r="L85" i="14"/>
  <c r="J17" i="1"/>
  <c r="G90" i="14"/>
  <c r="F22" i="1" s="1"/>
  <c r="G102" i="14"/>
  <c r="I9" i="14"/>
  <c r="H91" i="14"/>
  <c r="G23" i="1" s="1"/>
  <c r="M13" i="13"/>
  <c r="M11" i="13"/>
  <c r="M14" i="13"/>
  <c r="M12" i="13"/>
  <c r="N35" i="13"/>
  <c r="L13" i="13"/>
  <c r="L12" i="13"/>
  <c r="L11" i="13"/>
  <c r="L14" i="13"/>
  <c r="M86" i="14" l="1"/>
  <c r="K18" i="1"/>
  <c r="M87" i="14"/>
  <c r="K19" i="1"/>
  <c r="G101" i="14"/>
  <c r="F33" i="1" s="1"/>
  <c r="F34" i="1"/>
  <c r="M88" i="14"/>
  <c r="K20" i="1"/>
  <c r="M89" i="14"/>
  <c r="K21" i="1"/>
  <c r="M85" i="14"/>
  <c r="K17" i="1"/>
  <c r="M84" i="14"/>
  <c r="K16" i="1"/>
  <c r="H90" i="14"/>
  <c r="G22" i="1" s="1"/>
  <c r="H102" i="14"/>
  <c r="J9" i="14"/>
  <c r="I91" i="14"/>
  <c r="H23" i="1" s="1"/>
  <c r="N14" i="13"/>
  <c r="N13" i="13"/>
  <c r="N12" i="13"/>
  <c r="N11" i="13"/>
  <c r="O35" i="13"/>
  <c r="N89" i="14" l="1"/>
  <c r="L21" i="1"/>
  <c r="H101" i="14"/>
  <c r="G33" i="1" s="1"/>
  <c r="G34" i="1"/>
  <c r="N85" i="14"/>
  <c r="L17" i="1"/>
  <c r="N88" i="14"/>
  <c r="L20" i="1"/>
  <c r="N87" i="14"/>
  <c r="L19" i="1"/>
  <c r="N84" i="14"/>
  <c r="L16" i="1"/>
  <c r="N86" i="14"/>
  <c r="L18" i="1"/>
  <c r="I90" i="14"/>
  <c r="H22" i="1" s="1"/>
  <c r="I102" i="14"/>
  <c r="K9" i="14"/>
  <c r="J91" i="14"/>
  <c r="I23" i="1" s="1"/>
  <c r="P35" i="13"/>
  <c r="O11" i="13"/>
  <c r="O12" i="13"/>
  <c r="O13" i="13"/>
  <c r="O14" i="13"/>
  <c r="O88" i="14" l="1"/>
  <c r="M20" i="1"/>
  <c r="I101" i="14"/>
  <c r="H33" i="1" s="1"/>
  <c r="H34" i="1"/>
  <c r="O84" i="14"/>
  <c r="M16" i="1"/>
  <c r="O87" i="14"/>
  <c r="M19" i="1"/>
  <c r="O85" i="14"/>
  <c r="M17" i="1"/>
  <c r="O86" i="14"/>
  <c r="M18" i="1"/>
  <c r="O89" i="14"/>
  <c r="M21" i="1"/>
  <c r="J90" i="14"/>
  <c r="I22" i="1" s="1"/>
  <c r="J102" i="14"/>
  <c r="L9" i="14"/>
  <c r="K91" i="14"/>
  <c r="J23" i="1" s="1"/>
  <c r="Q35" i="13"/>
  <c r="P11" i="13"/>
  <c r="P13" i="13"/>
  <c r="P12" i="13"/>
  <c r="P14" i="13"/>
  <c r="P85" i="14" l="1"/>
  <c r="N17" i="1"/>
  <c r="P84" i="14"/>
  <c r="N16" i="1"/>
  <c r="P86" i="14"/>
  <c r="N18" i="1"/>
  <c r="P87" i="14"/>
  <c r="N19" i="1"/>
  <c r="J101" i="14"/>
  <c r="I33" i="1" s="1"/>
  <c r="I34" i="1"/>
  <c r="P89" i="14"/>
  <c r="N21" i="1"/>
  <c r="P88" i="14"/>
  <c r="N20" i="1"/>
  <c r="K90" i="14"/>
  <c r="J22" i="1" s="1"/>
  <c r="K102" i="14"/>
  <c r="M9" i="14"/>
  <c r="L91" i="14"/>
  <c r="K23" i="1" s="1"/>
  <c r="R35" i="13"/>
  <c r="Q12" i="13"/>
  <c r="Q11" i="13"/>
  <c r="Q14" i="13"/>
  <c r="Q13" i="13"/>
  <c r="Q87" i="14" l="1"/>
  <c r="O19" i="1"/>
  <c r="Q89" i="14"/>
  <c r="O21" i="1"/>
  <c r="Q86" i="14"/>
  <c r="O18" i="1"/>
  <c r="K101" i="14"/>
  <c r="J33" i="1" s="1"/>
  <c r="J34" i="1"/>
  <c r="Q84" i="14"/>
  <c r="O16" i="1"/>
  <c r="Q88" i="14"/>
  <c r="O20" i="1"/>
  <c r="Q85" i="14"/>
  <c r="O17" i="1"/>
  <c r="L90" i="14"/>
  <c r="K22" i="1" s="1"/>
  <c r="L102" i="14"/>
  <c r="N9" i="14"/>
  <c r="M91" i="14"/>
  <c r="L23" i="1" s="1"/>
  <c r="S35" i="13"/>
  <c r="R12" i="13"/>
  <c r="R11" i="13"/>
  <c r="R14" i="13"/>
  <c r="R13" i="13"/>
  <c r="R84" i="14" l="1"/>
  <c r="P16" i="1"/>
  <c r="L101" i="14"/>
  <c r="K33" i="1" s="1"/>
  <c r="K34" i="1"/>
  <c r="R88" i="14"/>
  <c r="P20" i="1"/>
  <c r="R86" i="14"/>
  <c r="P18" i="1"/>
  <c r="R89" i="14"/>
  <c r="P21" i="1"/>
  <c r="R85" i="14"/>
  <c r="P17" i="1"/>
  <c r="R87" i="14"/>
  <c r="P19" i="1"/>
  <c r="M90" i="14"/>
  <c r="L22" i="1" s="1"/>
  <c r="M102" i="14"/>
  <c r="O9" i="14"/>
  <c r="N91" i="14"/>
  <c r="M23" i="1" s="1"/>
  <c r="T35" i="13"/>
  <c r="S11" i="13"/>
  <c r="S14" i="13"/>
  <c r="S13" i="13"/>
  <c r="S12" i="13"/>
  <c r="S85" i="14" l="1"/>
  <c r="Q17" i="1"/>
  <c r="S89" i="14"/>
  <c r="Q21" i="1"/>
  <c r="S86" i="14"/>
  <c r="Q18" i="1"/>
  <c r="S88" i="14"/>
  <c r="Q20" i="1"/>
  <c r="M101" i="14"/>
  <c r="L33" i="1" s="1"/>
  <c r="L34" i="1"/>
  <c r="S87" i="14"/>
  <c r="Q19" i="1"/>
  <c r="S84" i="14"/>
  <c r="Q16" i="1"/>
  <c r="N90" i="14"/>
  <c r="M22" i="1" s="1"/>
  <c r="N102" i="14"/>
  <c r="P9" i="14"/>
  <c r="O91" i="14"/>
  <c r="N23" i="1" s="1"/>
  <c r="T14" i="13"/>
  <c r="T13" i="13"/>
  <c r="T12" i="13"/>
  <c r="T11" i="13"/>
  <c r="U35" i="13"/>
  <c r="T87" i="14" l="1"/>
  <c r="R19" i="1"/>
  <c r="T88" i="14"/>
  <c r="R20" i="1"/>
  <c r="T86" i="14"/>
  <c r="R18" i="1"/>
  <c r="N101" i="14"/>
  <c r="M33" i="1" s="1"/>
  <c r="M34" i="1"/>
  <c r="T89" i="14"/>
  <c r="R21" i="1"/>
  <c r="T84" i="14"/>
  <c r="R16" i="1"/>
  <c r="T85" i="14"/>
  <c r="R17" i="1"/>
  <c r="O90" i="14"/>
  <c r="N22" i="1" s="1"/>
  <c r="O102" i="14"/>
  <c r="Q9" i="14"/>
  <c r="P91" i="14"/>
  <c r="O23" i="1" s="1"/>
  <c r="U14" i="13"/>
  <c r="U13" i="13"/>
  <c r="U12" i="13"/>
  <c r="U11" i="13"/>
  <c r="V35" i="13"/>
  <c r="U84" i="14" l="1"/>
  <c r="S16" i="1"/>
  <c r="U89" i="14"/>
  <c r="S21" i="1"/>
  <c r="U86" i="14"/>
  <c r="S18" i="1"/>
  <c r="O101" i="14"/>
  <c r="N33" i="1" s="1"/>
  <c r="N34" i="1"/>
  <c r="U88" i="14"/>
  <c r="S20" i="1"/>
  <c r="U85" i="14"/>
  <c r="S17" i="1"/>
  <c r="U87" i="14"/>
  <c r="S19" i="1"/>
  <c r="P90" i="14"/>
  <c r="O22" i="1" s="1"/>
  <c r="P102" i="14"/>
  <c r="R9" i="14"/>
  <c r="Q91" i="14"/>
  <c r="P23" i="1" s="1"/>
  <c r="V13" i="13"/>
  <c r="V12" i="13"/>
  <c r="V11" i="13"/>
  <c r="W35" i="13"/>
  <c r="V14" i="13"/>
  <c r="V85" i="14" l="1"/>
  <c r="T17" i="1"/>
  <c r="V86" i="14"/>
  <c r="T18" i="1"/>
  <c r="V88" i="14"/>
  <c r="T20" i="1"/>
  <c r="P101" i="14"/>
  <c r="O33" i="1" s="1"/>
  <c r="O34" i="1"/>
  <c r="V89" i="14"/>
  <c r="T21" i="1"/>
  <c r="V87" i="14"/>
  <c r="T19" i="1"/>
  <c r="V84" i="14"/>
  <c r="T16" i="1"/>
  <c r="Q90" i="14"/>
  <c r="P22" i="1" s="1"/>
  <c r="Q102" i="14"/>
  <c r="S9" i="14"/>
  <c r="R91" i="14"/>
  <c r="Q23" i="1" s="1"/>
  <c r="W14" i="13"/>
  <c r="W13" i="13"/>
  <c r="W12" i="13"/>
  <c r="W11" i="13"/>
  <c r="X35" i="13"/>
  <c r="W87" i="14" l="1"/>
  <c r="U19" i="1"/>
  <c r="Q101" i="14"/>
  <c r="P33" i="1" s="1"/>
  <c r="P34" i="1"/>
  <c r="W89" i="14"/>
  <c r="U21" i="1"/>
  <c r="W88" i="14"/>
  <c r="U20" i="1"/>
  <c r="W86" i="14"/>
  <c r="U18" i="1"/>
  <c r="W84" i="14"/>
  <c r="U16" i="1"/>
  <c r="W85" i="14"/>
  <c r="U17" i="1"/>
  <c r="R90" i="14"/>
  <c r="Q22" i="1" s="1"/>
  <c r="R102" i="14"/>
  <c r="T9" i="14"/>
  <c r="S91" i="14"/>
  <c r="R23" i="1" s="1"/>
  <c r="Y35" i="13"/>
  <c r="X11" i="13"/>
  <c r="X12" i="13"/>
  <c r="X14" i="13"/>
  <c r="X13" i="13"/>
  <c r="X84" i="14" l="1"/>
  <c r="V16" i="1"/>
  <c r="X86" i="14"/>
  <c r="V18" i="1"/>
  <c r="R101" i="14"/>
  <c r="Q33" i="1" s="1"/>
  <c r="Q34" i="1"/>
  <c r="X88" i="14"/>
  <c r="V20" i="1"/>
  <c r="X89" i="14"/>
  <c r="V21" i="1"/>
  <c r="X85" i="14"/>
  <c r="V17" i="1"/>
  <c r="X87" i="14"/>
  <c r="V19" i="1"/>
  <c r="S90" i="14"/>
  <c r="R22" i="1" s="1"/>
  <c r="S102" i="14"/>
  <c r="U9" i="14"/>
  <c r="T91" i="14"/>
  <c r="S23" i="1" s="1"/>
  <c r="Y14" i="13"/>
  <c r="Y12" i="13"/>
  <c r="Y13" i="13"/>
  <c r="Y11" i="13"/>
  <c r="Z35" i="13"/>
  <c r="Y89" i="14" l="1"/>
  <c r="W21" i="1"/>
  <c r="S101" i="14"/>
  <c r="R33" i="1" s="1"/>
  <c r="R34" i="1"/>
  <c r="Y85" i="14"/>
  <c r="W17" i="1"/>
  <c r="Y88" i="14"/>
  <c r="W20" i="1"/>
  <c r="Y86" i="14"/>
  <c r="W18" i="1"/>
  <c r="Y87" i="14"/>
  <c r="W19" i="1"/>
  <c r="Y84" i="14"/>
  <c r="W16" i="1"/>
  <c r="T90" i="14"/>
  <c r="S22" i="1" s="1"/>
  <c r="T102" i="14"/>
  <c r="V9" i="14"/>
  <c r="U91" i="14"/>
  <c r="T23" i="1" s="1"/>
  <c r="Z14" i="13"/>
  <c r="Z13" i="13"/>
  <c r="Z12" i="13"/>
  <c r="Z11" i="13"/>
  <c r="AA35" i="13"/>
  <c r="Z86" i="14" l="1"/>
  <c r="Y18" i="1" s="1"/>
  <c r="X18" i="1"/>
  <c r="T101" i="14"/>
  <c r="S33" i="1" s="1"/>
  <c r="S34" i="1"/>
  <c r="Z87" i="14"/>
  <c r="Y19" i="1" s="1"/>
  <c r="X19" i="1"/>
  <c r="Z88" i="14"/>
  <c r="Y20" i="1" s="1"/>
  <c r="X20" i="1"/>
  <c r="Z85" i="14"/>
  <c r="Y17" i="1" s="1"/>
  <c r="X17" i="1"/>
  <c r="Z84" i="14"/>
  <c r="Y16" i="1" s="1"/>
  <c r="X16" i="1"/>
  <c r="Z89" i="14"/>
  <c r="Y21" i="1" s="1"/>
  <c r="X21" i="1"/>
  <c r="U90" i="14"/>
  <c r="T22" i="1" s="1"/>
  <c r="U102" i="14"/>
  <c r="W9" i="14"/>
  <c r="V91" i="14"/>
  <c r="U23" i="1" s="1"/>
  <c r="AA14" i="13"/>
  <c r="AA13" i="13"/>
  <c r="AA12" i="13"/>
  <c r="AA11" i="13"/>
  <c r="AB35" i="13"/>
  <c r="U101" i="14" l="1"/>
  <c r="T33" i="1" s="1"/>
  <c r="T34" i="1"/>
  <c r="V90" i="14"/>
  <c r="U22" i="1" s="1"/>
  <c r="V102" i="14"/>
  <c r="X9" i="14"/>
  <c r="W91" i="14"/>
  <c r="V23" i="1" s="1"/>
  <c r="AC35" i="13"/>
  <c r="AB14" i="13"/>
  <c r="AB13" i="13"/>
  <c r="AB12" i="13"/>
  <c r="AB11" i="13"/>
  <c r="V101" i="14" l="1"/>
  <c r="U33" i="1" s="1"/>
  <c r="U34" i="1"/>
  <c r="W90" i="14"/>
  <c r="V22" i="1" s="1"/>
  <c r="W102" i="14"/>
  <c r="Y9" i="14"/>
  <c r="X91" i="14"/>
  <c r="W23" i="1" s="1"/>
  <c r="AD35" i="13"/>
  <c r="AC14" i="13"/>
  <c r="AC13" i="13"/>
  <c r="AC12" i="13"/>
  <c r="AC11" i="13"/>
  <c r="W101" i="14" l="1"/>
  <c r="V33" i="1" s="1"/>
  <c r="V34" i="1"/>
  <c r="X90" i="14"/>
  <c r="W22" i="1" s="1"/>
  <c r="X102" i="14"/>
  <c r="Z9" i="14"/>
  <c r="Z91" i="14" s="1"/>
  <c r="Y23" i="1" s="1"/>
  <c r="Y91" i="14"/>
  <c r="X23" i="1" s="1"/>
  <c r="AE35" i="13"/>
  <c r="AD12" i="13"/>
  <c r="AD11" i="13"/>
  <c r="AD14" i="13"/>
  <c r="AD13" i="13"/>
  <c r="X101" i="14" l="1"/>
  <c r="W33" i="1" s="1"/>
  <c r="W34" i="1"/>
  <c r="Z90" i="14"/>
  <c r="Y22" i="1" s="1"/>
  <c r="Z102" i="14"/>
  <c r="Y90" i="14"/>
  <c r="X22" i="1" s="1"/>
  <c r="Y102" i="14"/>
  <c r="AF35" i="13"/>
  <c r="AE11" i="13"/>
  <c r="AE14" i="13"/>
  <c r="AE13" i="13"/>
  <c r="AE12" i="13"/>
  <c r="Z101" i="14" l="1"/>
  <c r="Y33" i="1" s="1"/>
  <c r="Y34" i="1"/>
  <c r="Y101" i="14"/>
  <c r="X33" i="1" s="1"/>
  <c r="X34" i="1"/>
  <c r="AG35" i="13"/>
  <c r="AF14" i="13"/>
  <c r="AF13" i="13"/>
  <c r="AF12" i="13"/>
  <c r="AF11" i="13"/>
  <c r="AG14" i="13" l="1"/>
  <c r="AG13" i="13"/>
  <c r="AG12" i="13"/>
  <c r="AG11" i="13"/>
  <c r="AH35" i="13"/>
  <c r="AH14" i="13" l="1"/>
  <c r="AH13" i="13"/>
  <c r="AH12" i="13"/>
  <c r="AH11" i="13"/>
  <c r="AI35" i="13"/>
  <c r="AI14" i="13" l="1"/>
  <c r="AI13" i="13"/>
  <c r="AI12" i="13"/>
  <c r="AI11" i="13"/>
  <c r="AJ35" i="13"/>
  <c r="AJ14" i="13" l="1"/>
  <c r="AJ13" i="13"/>
  <c r="AJ12" i="13"/>
  <c r="AJ11" i="13"/>
  <c r="AK35" i="13"/>
  <c r="AK13" i="13" l="1"/>
  <c r="AK11" i="13"/>
  <c r="AK14" i="13"/>
  <c r="AK12" i="13"/>
  <c r="AL35" i="13"/>
  <c r="AL14" i="13" l="1"/>
  <c r="AL13" i="13"/>
  <c r="AL12" i="13"/>
  <c r="AL11" i="13"/>
  <c r="B93" i="12" l="1"/>
  <c r="B88" i="12"/>
  <c r="B83" i="12"/>
  <c r="B78" i="12"/>
  <c r="B73" i="12"/>
  <c r="AL66" i="12"/>
  <c r="AK66" i="12"/>
  <c r="AJ66" i="12"/>
  <c r="AI66" i="12"/>
  <c r="AH66" i="12"/>
  <c r="AG66" i="12"/>
  <c r="AF66" i="12"/>
  <c r="AE66" i="12"/>
  <c r="AD66" i="12"/>
  <c r="AC66" i="12"/>
  <c r="AB66" i="12"/>
  <c r="AA66" i="12"/>
  <c r="Z66" i="12"/>
  <c r="Y66" i="12"/>
  <c r="X66" i="12"/>
  <c r="W66" i="12"/>
  <c r="V66" i="12"/>
  <c r="U66" i="12"/>
  <c r="T66" i="12"/>
  <c r="S66" i="12"/>
  <c r="R66" i="12"/>
  <c r="Q66" i="12"/>
  <c r="P66" i="12"/>
  <c r="O66" i="12"/>
  <c r="M66" i="12"/>
  <c r="L66" i="12"/>
  <c r="J66" i="12"/>
  <c r="H66" i="12"/>
  <c r="F66" i="12"/>
  <c r="B64" i="12"/>
  <c r="AL59" i="12"/>
  <c r="AK59" i="12"/>
  <c r="AJ59" i="12"/>
  <c r="AI59" i="12"/>
  <c r="AH59" i="12"/>
  <c r="AG59" i="12"/>
  <c r="AF59" i="12"/>
  <c r="AE59" i="12"/>
  <c r="AD59" i="12"/>
  <c r="AC59" i="12"/>
  <c r="AB59" i="12"/>
  <c r="AA59" i="12"/>
  <c r="Z59" i="12"/>
  <c r="Y59" i="12"/>
  <c r="X59" i="12"/>
  <c r="W59" i="12"/>
  <c r="V59" i="12"/>
  <c r="U59" i="12"/>
  <c r="T59" i="12"/>
  <c r="S59" i="12"/>
  <c r="R59" i="12"/>
  <c r="Q59" i="12"/>
  <c r="P59" i="12"/>
  <c r="O59" i="12"/>
  <c r="M59" i="12"/>
  <c r="L59" i="12"/>
  <c r="J59" i="12"/>
  <c r="H59" i="12"/>
  <c r="F59" i="12"/>
  <c r="E59" i="12"/>
  <c r="D59" i="12"/>
  <c r="B57" i="12"/>
  <c r="AL51" i="12"/>
  <c r="AK51" i="12"/>
  <c r="AJ51" i="12"/>
  <c r="AI51" i="12"/>
  <c r="AH51" i="12"/>
  <c r="AG51" i="12"/>
  <c r="AF51" i="12"/>
  <c r="AE51" i="12"/>
  <c r="AD51" i="12"/>
  <c r="AC51" i="12"/>
  <c r="AB51" i="12"/>
  <c r="AA51" i="12"/>
  <c r="Z51" i="12"/>
  <c r="Y51" i="12"/>
  <c r="X51" i="12"/>
  <c r="W51" i="12"/>
  <c r="V51" i="12"/>
  <c r="U51" i="12"/>
  <c r="T51" i="12"/>
  <c r="S51" i="12"/>
  <c r="R51" i="12"/>
  <c r="Q51" i="12"/>
  <c r="P51" i="12"/>
  <c r="O51" i="12"/>
  <c r="M51" i="12"/>
  <c r="L51" i="12"/>
  <c r="J51" i="12"/>
  <c r="H51" i="12"/>
  <c r="F51" i="12"/>
  <c r="E51" i="12"/>
  <c r="D51" i="12"/>
  <c r="AL50" i="12"/>
  <c r="AK50" i="12"/>
  <c r="AJ50" i="12"/>
  <c r="AI50" i="12"/>
  <c r="AH50" i="12"/>
  <c r="AG50" i="12"/>
  <c r="AF50" i="12"/>
  <c r="AE50" i="12"/>
  <c r="AD50" i="12"/>
  <c r="AC50" i="12"/>
  <c r="AB50" i="12"/>
  <c r="AA50" i="12"/>
  <c r="Z50" i="12"/>
  <c r="Y50" i="12"/>
  <c r="X50" i="12"/>
  <c r="W50" i="12"/>
  <c r="V50" i="12"/>
  <c r="U50" i="12"/>
  <c r="T50" i="12"/>
  <c r="S50" i="12"/>
  <c r="R50" i="12"/>
  <c r="Q50" i="12"/>
  <c r="P50" i="12"/>
  <c r="O50" i="12"/>
  <c r="M50" i="12"/>
  <c r="L50" i="12"/>
  <c r="J50" i="12"/>
  <c r="H50" i="12"/>
  <c r="F50" i="12"/>
  <c r="E50" i="12"/>
  <c r="D50" i="12"/>
  <c r="AL49" i="12"/>
  <c r="AK49" i="12"/>
  <c r="AJ49" i="12"/>
  <c r="AI49" i="12"/>
  <c r="AH49" i="12"/>
  <c r="AG49" i="12"/>
  <c r="AF49" i="12"/>
  <c r="AE49" i="12"/>
  <c r="AD49" i="12"/>
  <c r="AC49" i="12"/>
  <c r="AB49" i="12"/>
  <c r="AA49" i="12"/>
  <c r="Z49" i="12"/>
  <c r="Y49" i="12"/>
  <c r="X49" i="12"/>
  <c r="W49" i="12"/>
  <c r="V49" i="12"/>
  <c r="U49" i="12"/>
  <c r="T49" i="12"/>
  <c r="S49" i="12"/>
  <c r="R49" i="12"/>
  <c r="Q49" i="12"/>
  <c r="P49" i="12"/>
  <c r="O49" i="12"/>
  <c r="M49" i="12"/>
  <c r="L49" i="12"/>
  <c r="J49" i="12"/>
  <c r="H49" i="12"/>
  <c r="F49" i="12"/>
  <c r="E49" i="12"/>
  <c r="D49" i="12"/>
  <c r="AL48" i="12"/>
  <c r="AK48" i="12"/>
  <c r="AJ48" i="12"/>
  <c r="AI48" i="12"/>
  <c r="AH48" i="12"/>
  <c r="AG48" i="12"/>
  <c r="AF48" i="12"/>
  <c r="AE48" i="12"/>
  <c r="AD48" i="12"/>
  <c r="AC48" i="12"/>
  <c r="AB48" i="12"/>
  <c r="AA48" i="12"/>
  <c r="Z48" i="12"/>
  <c r="Y48" i="12"/>
  <c r="X48" i="12"/>
  <c r="W48" i="12"/>
  <c r="V48" i="12"/>
  <c r="U48" i="12"/>
  <c r="T48" i="12"/>
  <c r="S48" i="12"/>
  <c r="R48" i="12"/>
  <c r="Q48" i="12"/>
  <c r="P48" i="12"/>
  <c r="O48" i="12"/>
  <c r="N48" i="12"/>
  <c r="M48" i="12"/>
  <c r="L48" i="12"/>
  <c r="K48" i="12"/>
  <c r="J48" i="12"/>
  <c r="I48" i="12"/>
  <c r="H48" i="12"/>
  <c r="G48" i="12"/>
  <c r="F48" i="12"/>
  <c r="E48" i="12"/>
  <c r="D48" i="12"/>
  <c r="C48" i="12"/>
  <c r="AL47" i="12"/>
  <c r="AK47" i="12"/>
  <c r="AJ47" i="12"/>
  <c r="AI47" i="12"/>
  <c r="AH47" i="12"/>
  <c r="AG47" i="12"/>
  <c r="AF47" i="12"/>
  <c r="AE47" i="12"/>
  <c r="AE45" i="12" s="1"/>
  <c r="AE6" i="12" s="1"/>
  <c r="AD47" i="12"/>
  <c r="AC47" i="12"/>
  <c r="AB47" i="12"/>
  <c r="AA47" i="12"/>
  <c r="Z47" i="12"/>
  <c r="Y47" i="12"/>
  <c r="X47" i="12"/>
  <c r="W47" i="12"/>
  <c r="V47" i="12"/>
  <c r="U47" i="12"/>
  <c r="T47" i="12"/>
  <c r="S47" i="12"/>
  <c r="R47" i="12"/>
  <c r="Q47" i="12"/>
  <c r="P47" i="12"/>
  <c r="O47" i="12"/>
  <c r="M47" i="12"/>
  <c r="L47" i="12"/>
  <c r="J47" i="12"/>
  <c r="H47" i="12"/>
  <c r="F47" i="12"/>
  <c r="E47" i="12"/>
  <c r="D47" i="12"/>
  <c r="AL46" i="12"/>
  <c r="AK46" i="12"/>
  <c r="AJ46" i="12"/>
  <c r="AI46" i="12"/>
  <c r="AH46" i="12"/>
  <c r="AG46" i="12"/>
  <c r="AF46" i="12"/>
  <c r="AE46" i="12"/>
  <c r="AD46" i="12"/>
  <c r="AC46" i="12"/>
  <c r="AB46" i="12"/>
  <c r="AA46" i="12"/>
  <c r="AA45" i="12" s="1"/>
  <c r="AA6" i="12" s="1"/>
  <c r="Z46" i="12"/>
  <c r="Y46" i="12"/>
  <c r="X46" i="12"/>
  <c r="W46" i="12"/>
  <c r="V46" i="12"/>
  <c r="U46" i="12"/>
  <c r="T46" i="12"/>
  <c r="S46" i="12"/>
  <c r="R46" i="12"/>
  <c r="Q46" i="12"/>
  <c r="P46" i="12"/>
  <c r="O46" i="12"/>
  <c r="O45" i="12" s="1"/>
  <c r="O6" i="12" s="1"/>
  <c r="M46" i="12"/>
  <c r="L46" i="12"/>
  <c r="J46" i="12"/>
  <c r="H46" i="12"/>
  <c r="F46" i="12"/>
  <c r="E46" i="12"/>
  <c r="D46" i="12"/>
  <c r="N43" i="12"/>
  <c r="N59" i="12" s="1"/>
  <c r="K43" i="12"/>
  <c r="K59" i="12" s="1"/>
  <c r="I43" i="12"/>
  <c r="I47" i="12" s="1"/>
  <c r="G43" i="12"/>
  <c r="G66" i="12" s="1"/>
  <c r="C43" i="12"/>
  <c r="C51" i="12" s="1"/>
  <c r="AL33" i="12"/>
  <c r="AK3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G33" i="12"/>
  <c r="F33" i="12"/>
  <c r="E33" i="12"/>
  <c r="D33" i="12"/>
  <c r="C33" i="12"/>
  <c r="AL29" i="12"/>
  <c r="AK29" i="12"/>
  <c r="AJ29" i="12"/>
  <c r="AI29" i="12"/>
  <c r="AH29" i="12"/>
  <c r="AG29" i="12"/>
  <c r="AL30" i="12" s="1"/>
  <c r="AF29" i="12"/>
  <c r="AK30" i="12" s="1"/>
  <c r="AE29" i="12"/>
  <c r="AJ30" i="12" s="1"/>
  <c r="AD29" i="12"/>
  <c r="AI30" i="12" s="1"/>
  <c r="AC29" i="12"/>
  <c r="AJ31" i="12" s="1"/>
  <c r="AB29" i="12"/>
  <c r="AG30" i="12" s="1"/>
  <c r="AA29" i="12"/>
  <c r="AH31" i="12" s="1"/>
  <c r="Z29" i="12"/>
  <c r="AG31" i="12" s="1"/>
  <c r="Y29" i="12"/>
  <c r="AF31" i="12" s="1"/>
  <c r="X29" i="12"/>
  <c r="AE31" i="12" s="1"/>
  <c r="W29" i="12"/>
  <c r="AD31" i="12" s="1"/>
  <c r="V29" i="12"/>
  <c r="AC31" i="12" s="1"/>
  <c r="U29" i="12"/>
  <c r="AB31" i="12" s="1"/>
  <c r="T29" i="12"/>
  <c r="AA31" i="12" s="1"/>
  <c r="S29" i="12"/>
  <c r="X30" i="12" s="1"/>
  <c r="R29" i="12"/>
  <c r="W30" i="12" s="1"/>
  <c r="Q29" i="12"/>
  <c r="V30" i="12" s="1"/>
  <c r="P29" i="12"/>
  <c r="U30" i="12" s="1"/>
  <c r="O29" i="12"/>
  <c r="V31" i="12" s="1"/>
  <c r="N29" i="12"/>
  <c r="U31" i="12" s="1"/>
  <c r="M29" i="12"/>
  <c r="T31" i="12" s="1"/>
  <c r="L29" i="12"/>
  <c r="S31" i="12" s="1"/>
  <c r="K29" i="12"/>
  <c r="R31" i="12" s="1"/>
  <c r="J29" i="12"/>
  <c r="Q31" i="12" s="1"/>
  <c r="I29" i="12"/>
  <c r="P31" i="12" s="1"/>
  <c r="H29" i="12"/>
  <c r="O31" i="12" s="1"/>
  <c r="G29" i="12"/>
  <c r="L30" i="12" s="1"/>
  <c r="F29" i="12"/>
  <c r="K30" i="12" s="1"/>
  <c r="AL24" i="12"/>
  <c r="AK24" i="12"/>
  <c r="AJ24" i="12"/>
  <c r="AI24" i="12"/>
  <c r="AH24" i="12"/>
  <c r="AL25" i="12" s="1"/>
  <c r="AG24" i="12"/>
  <c r="AK25" i="12" s="1"/>
  <c r="AF24" i="12"/>
  <c r="AJ25" i="12" s="1"/>
  <c r="AE24" i="12"/>
  <c r="AI25" i="12" s="1"/>
  <c r="AD24" i="12"/>
  <c r="AH25" i="12" s="1"/>
  <c r="AC24" i="12"/>
  <c r="AG25" i="12" s="1"/>
  <c r="AB24" i="12"/>
  <c r="AF25" i="12" s="1"/>
  <c r="AA24" i="12"/>
  <c r="AE25" i="12" s="1"/>
  <c r="Z24" i="12"/>
  <c r="AD25" i="12" s="1"/>
  <c r="Y24" i="12"/>
  <c r="AC25" i="12" s="1"/>
  <c r="X24" i="12"/>
  <c r="AB25" i="12" s="1"/>
  <c r="W24" i="12"/>
  <c r="AA25" i="12" s="1"/>
  <c r="V24" i="12"/>
  <c r="Z25" i="12" s="1"/>
  <c r="U24" i="12"/>
  <c r="Y25" i="12" s="1"/>
  <c r="T24" i="12"/>
  <c r="X25" i="12" s="1"/>
  <c r="S24" i="12"/>
  <c r="W25" i="12" s="1"/>
  <c r="R24" i="12"/>
  <c r="V25" i="12" s="1"/>
  <c r="Q24" i="12"/>
  <c r="U25" i="12" s="1"/>
  <c r="P24" i="12"/>
  <c r="T25" i="12" s="1"/>
  <c r="O24" i="12"/>
  <c r="S25" i="12" s="1"/>
  <c r="N24" i="12"/>
  <c r="R25" i="12" s="1"/>
  <c r="M24" i="12"/>
  <c r="Q25" i="12" s="1"/>
  <c r="L24" i="12"/>
  <c r="P25" i="12" s="1"/>
  <c r="K24" i="12"/>
  <c r="O25" i="12" s="1"/>
  <c r="J24" i="12"/>
  <c r="N25" i="12" s="1"/>
  <c r="I24" i="12"/>
  <c r="M25" i="12" s="1"/>
  <c r="H24" i="12"/>
  <c r="L25" i="12" s="1"/>
  <c r="G24" i="12"/>
  <c r="K25" i="12" s="1"/>
  <c r="F24" i="12"/>
  <c r="J25" i="12" s="1"/>
  <c r="E24" i="12"/>
  <c r="I25" i="12" s="1"/>
  <c r="D24" i="12"/>
  <c r="H25" i="12" s="1"/>
  <c r="C24" i="12"/>
  <c r="G25" i="12" s="1"/>
  <c r="AL19" i="12"/>
  <c r="AK19" i="12"/>
  <c r="AJ19" i="12"/>
  <c r="AI19" i="12"/>
  <c r="AH19" i="12"/>
  <c r="AG19" i="12"/>
  <c r="AL20" i="12" s="1"/>
  <c r="AF19" i="12"/>
  <c r="AK20" i="12" s="1"/>
  <c r="AE19" i="12"/>
  <c r="AJ20" i="12" s="1"/>
  <c r="AD19" i="12"/>
  <c r="AI20" i="12" s="1"/>
  <c r="AC19" i="12"/>
  <c r="AH20" i="12" s="1"/>
  <c r="AB19" i="12"/>
  <c r="AG20" i="12" s="1"/>
  <c r="AA19" i="12"/>
  <c r="AF20" i="12" s="1"/>
  <c r="Z19" i="12"/>
  <c r="AG21" i="12" s="1"/>
  <c r="Y19" i="12"/>
  <c r="AF21" i="12" s="1"/>
  <c r="X19" i="12"/>
  <c r="AE21" i="12" s="1"/>
  <c r="W19" i="12"/>
  <c r="AB20" i="12" s="1"/>
  <c r="V19" i="12"/>
  <c r="AC21" i="12" s="1"/>
  <c r="U19" i="12"/>
  <c r="Z20" i="12" s="1"/>
  <c r="T19" i="12"/>
  <c r="Y20" i="12" s="1"/>
  <c r="S19" i="12"/>
  <c r="X20" i="12" s="1"/>
  <c r="R19" i="12"/>
  <c r="W20" i="12" s="1"/>
  <c r="Q19" i="12"/>
  <c r="V20" i="12" s="1"/>
  <c r="P19" i="12"/>
  <c r="U20" i="12" s="1"/>
  <c r="O19" i="12"/>
  <c r="T20" i="12" s="1"/>
  <c r="N19" i="12"/>
  <c r="U21" i="12" s="1"/>
  <c r="M19" i="12"/>
  <c r="T21" i="12" s="1"/>
  <c r="L19" i="12"/>
  <c r="S21" i="12" s="1"/>
  <c r="K19" i="12"/>
  <c r="R21" i="12" s="1"/>
  <c r="J19" i="12"/>
  <c r="Q21" i="12" s="1"/>
  <c r="I19" i="12"/>
  <c r="N20" i="12" s="1"/>
  <c r="H19" i="12"/>
  <c r="M20" i="12" s="1"/>
  <c r="G19" i="12"/>
  <c r="L20" i="12" s="1"/>
  <c r="F19" i="12"/>
  <c r="K20" i="12" s="1"/>
  <c r="E19" i="12"/>
  <c r="J20" i="12" s="1"/>
  <c r="D19" i="12"/>
  <c r="I20" i="12" s="1"/>
  <c r="C19" i="12"/>
  <c r="H20" i="12" s="1"/>
  <c r="D16" i="12"/>
  <c r="E16" i="12" s="1"/>
  <c r="C7" i="12"/>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AI3" i="12" s="1"/>
  <c r="AJ3" i="12" s="1"/>
  <c r="AK3" i="12" s="1"/>
  <c r="AL3" i="12" s="1"/>
  <c r="L45" i="12" l="1"/>
  <c r="L6" i="12" s="1"/>
  <c r="Y45" i="12"/>
  <c r="Y6" i="12" s="1"/>
  <c r="AK45" i="12"/>
  <c r="AK6" i="12" s="1"/>
  <c r="S45" i="12"/>
  <c r="S6" i="12" s="1"/>
  <c r="AD45" i="12"/>
  <c r="AD6" i="12" s="1"/>
  <c r="W45" i="12"/>
  <c r="W6" i="12" s="1"/>
  <c r="AI45" i="12"/>
  <c r="AI6" i="12" s="1"/>
  <c r="U45" i="12"/>
  <c r="U6" i="12" s="1"/>
  <c r="G46" i="12"/>
  <c r="R45" i="12"/>
  <c r="R6" i="12" s="1"/>
  <c r="AG45" i="12"/>
  <c r="AG6" i="12" s="1"/>
  <c r="J45" i="12"/>
  <c r="J6" i="12" s="1"/>
  <c r="X45" i="12"/>
  <c r="X6" i="12" s="1"/>
  <c r="AJ45" i="12"/>
  <c r="AJ6" i="12" s="1"/>
  <c r="Q45" i="12"/>
  <c r="Q6" i="12" s="1"/>
  <c r="AC45" i="12"/>
  <c r="AC6" i="12" s="1"/>
  <c r="F45" i="12"/>
  <c r="F6" i="12" s="1"/>
  <c r="D7" i="12"/>
  <c r="N30" i="12"/>
  <c r="H45" i="12"/>
  <c r="H6" i="12" s="1"/>
  <c r="V45" i="12"/>
  <c r="V6" i="12" s="1"/>
  <c r="AH21" i="12"/>
  <c r="E45" i="12"/>
  <c r="E6" i="12" s="1"/>
  <c r="P45" i="12"/>
  <c r="P6" i="12" s="1"/>
  <c r="AH45" i="12"/>
  <c r="AH6" i="12" s="1"/>
  <c r="D45" i="12"/>
  <c r="D6" i="12" s="1"/>
  <c r="G49" i="12"/>
  <c r="AB45" i="12"/>
  <c r="AB6" i="12" s="1"/>
  <c r="M45" i="12"/>
  <c r="M6" i="12" s="1"/>
  <c r="T45" i="12"/>
  <c r="T6" i="12" s="1"/>
  <c r="Z45" i="12"/>
  <c r="Z6" i="12" s="1"/>
  <c r="AF45" i="12"/>
  <c r="AF6" i="12" s="1"/>
  <c r="AL45" i="12"/>
  <c r="AL6" i="12" s="1"/>
  <c r="W31" i="12"/>
  <c r="I50" i="12"/>
  <c r="V21" i="12"/>
  <c r="AI21" i="12"/>
  <c r="O30" i="12"/>
  <c r="AB30" i="12"/>
  <c r="Z31" i="12"/>
  <c r="G51" i="12"/>
  <c r="I59" i="12"/>
  <c r="J21" i="12"/>
  <c r="W21" i="12"/>
  <c r="AJ21" i="12"/>
  <c r="P30" i="12"/>
  <c r="AC30" i="12"/>
  <c r="AI31" i="12"/>
  <c r="I66" i="12"/>
  <c r="K21" i="12"/>
  <c r="X21" i="12"/>
  <c r="AK21" i="12"/>
  <c r="Q30" i="12"/>
  <c r="AL31" i="12"/>
  <c r="I46" i="12"/>
  <c r="I49" i="12"/>
  <c r="I51" i="12"/>
  <c r="AA30" i="12"/>
  <c r="L21" i="12"/>
  <c r="Y21" i="12"/>
  <c r="AL21" i="12"/>
  <c r="Y30" i="12"/>
  <c r="G47" i="12"/>
  <c r="G50" i="12"/>
  <c r="K66" i="12"/>
  <c r="D8" i="12"/>
  <c r="D9" i="12" s="1"/>
  <c r="N21" i="12"/>
  <c r="C8" i="12"/>
  <c r="C9" i="12" s="1"/>
  <c r="M21" i="12"/>
  <c r="Z21" i="12"/>
  <c r="M30" i="12"/>
  <c r="Z30" i="12"/>
  <c r="N31" i="12"/>
  <c r="G59" i="12"/>
  <c r="C11" i="12"/>
  <c r="C10" i="12"/>
  <c r="F16" i="12"/>
  <c r="E7" i="12"/>
  <c r="AA20" i="12"/>
  <c r="X31" i="12"/>
  <c r="Q20" i="12"/>
  <c r="AC20" i="12"/>
  <c r="M31" i="12"/>
  <c r="Y31" i="12"/>
  <c r="AK31" i="12"/>
  <c r="P20" i="12"/>
  <c r="R20" i="12"/>
  <c r="AD20" i="12"/>
  <c r="O20" i="12"/>
  <c r="S20" i="12"/>
  <c r="AE20" i="12"/>
  <c r="O21" i="12"/>
  <c r="AA21" i="12"/>
  <c r="R30" i="12"/>
  <c r="AD30" i="12"/>
  <c r="K46" i="12"/>
  <c r="K47" i="12"/>
  <c r="K49" i="12"/>
  <c r="K50" i="12"/>
  <c r="K51" i="12"/>
  <c r="P21" i="12"/>
  <c r="AB21" i="12"/>
  <c r="S30" i="12"/>
  <c r="AE30" i="12"/>
  <c r="N66" i="12"/>
  <c r="T30" i="12"/>
  <c r="AF30" i="12"/>
  <c r="AD21" i="12"/>
  <c r="N46" i="12"/>
  <c r="N47" i="12"/>
  <c r="N49" i="12"/>
  <c r="N50" i="12"/>
  <c r="N51" i="12"/>
  <c r="AH30" i="12"/>
  <c r="C46" i="12"/>
  <c r="C47" i="12"/>
  <c r="C49" i="12"/>
  <c r="C50" i="12"/>
  <c r="AD100" i="11"/>
  <c r="AE100" i="11"/>
  <c r="AF100" i="11"/>
  <c r="AG100" i="11"/>
  <c r="AH100" i="11"/>
  <c r="AI100" i="11"/>
  <c r="AJ100" i="11"/>
  <c r="AK100" i="11"/>
  <c r="AL100" i="11"/>
  <c r="AD94" i="11"/>
  <c r="AE94" i="11"/>
  <c r="AF94" i="11"/>
  <c r="AG94" i="11"/>
  <c r="AH94" i="11"/>
  <c r="AI94" i="11"/>
  <c r="AJ94" i="11"/>
  <c r="AK94" i="11"/>
  <c r="AL94" i="11"/>
  <c r="AD88" i="11"/>
  <c r="AE88" i="11"/>
  <c r="AF88" i="11"/>
  <c r="AG88" i="11"/>
  <c r="AH88" i="11"/>
  <c r="AI88" i="11"/>
  <c r="AJ88" i="11"/>
  <c r="AK88" i="11"/>
  <c r="AL88" i="11"/>
  <c r="AL83" i="11"/>
  <c r="AK83" i="11"/>
  <c r="AJ83" i="11"/>
  <c r="AI83" i="11"/>
  <c r="AH83" i="11"/>
  <c r="AG83" i="11"/>
  <c r="AF83" i="11"/>
  <c r="AE83" i="11"/>
  <c r="AD83" i="11"/>
  <c r="AC83" i="11"/>
  <c r="AB83" i="11"/>
  <c r="AA83" i="11"/>
  <c r="AL80" i="11"/>
  <c r="AK80" i="11"/>
  <c r="AJ80" i="11"/>
  <c r="AL73" i="11"/>
  <c r="AK73" i="11"/>
  <c r="AJ73" i="11"/>
  <c r="AL66" i="11"/>
  <c r="AK66" i="11"/>
  <c r="AJ66" i="11"/>
  <c r="AI80" i="11"/>
  <c r="AH80" i="11"/>
  <c r="AG80" i="11"/>
  <c r="AI73" i="11"/>
  <c r="AH73" i="11"/>
  <c r="AG73" i="11"/>
  <c r="AI66" i="11"/>
  <c r="AH66" i="11"/>
  <c r="AG66" i="11"/>
  <c r="AF80" i="11"/>
  <c r="AE80" i="11"/>
  <c r="AD80" i="11"/>
  <c r="AF73" i="11"/>
  <c r="AE73" i="11"/>
  <c r="AD73" i="11"/>
  <c r="AF66" i="11"/>
  <c r="AE66" i="11"/>
  <c r="AD66" i="11"/>
  <c r="AC80" i="11"/>
  <c r="AB80" i="11"/>
  <c r="AA80" i="11"/>
  <c r="AC73" i="11"/>
  <c r="AB73" i="11"/>
  <c r="AA73" i="11"/>
  <c r="AC66" i="11"/>
  <c r="AB66" i="11"/>
  <c r="AA66" i="11"/>
  <c r="AL59" i="11"/>
  <c r="AK59" i="11"/>
  <c r="AJ59" i="11"/>
  <c r="AI59" i="11"/>
  <c r="AH59" i="11"/>
  <c r="AG59" i="11"/>
  <c r="AF59" i="11"/>
  <c r="AE59" i="11"/>
  <c r="AD59" i="11"/>
  <c r="AC59" i="11"/>
  <c r="AB59" i="11"/>
  <c r="AA59" i="11"/>
  <c r="AL51" i="11"/>
  <c r="AK51" i="11"/>
  <c r="AJ51" i="11"/>
  <c r="AI51" i="11"/>
  <c r="AH51" i="11"/>
  <c r="AG51" i="11"/>
  <c r="AF51" i="11"/>
  <c r="AE51" i="11"/>
  <c r="AD51" i="11"/>
  <c r="AC51" i="11"/>
  <c r="AB51" i="11"/>
  <c r="AA51" i="11"/>
  <c r="N36" i="11"/>
  <c r="J36" i="11"/>
  <c r="O36" i="11"/>
  <c r="P36" i="11"/>
  <c r="Q36" i="11"/>
  <c r="R36" i="11"/>
  <c r="S36" i="11"/>
  <c r="T36" i="11"/>
  <c r="U36" i="11"/>
  <c r="V36" i="11"/>
  <c r="W36" i="11"/>
  <c r="X36" i="11"/>
  <c r="Y36" i="11"/>
  <c r="Z36" i="11"/>
  <c r="AA36" i="11"/>
  <c r="AA37" i="11" s="1"/>
  <c r="AB36" i="11"/>
  <c r="AB38" i="11" s="1"/>
  <c r="AC36" i="11"/>
  <c r="AD36" i="11"/>
  <c r="AD38" i="11" s="1"/>
  <c r="AE36" i="11"/>
  <c r="AE38" i="11" s="1"/>
  <c r="AF36" i="11"/>
  <c r="AF37" i="11" s="1"/>
  <c r="AG36" i="11"/>
  <c r="AG37" i="11" s="1"/>
  <c r="AH36" i="11"/>
  <c r="AH37" i="11" s="1"/>
  <c r="AI36" i="11"/>
  <c r="AI38" i="11" s="1"/>
  <c r="AJ36" i="11"/>
  <c r="AJ38" i="11" s="1"/>
  <c r="AK36" i="11"/>
  <c r="AK38" i="11" s="1"/>
  <c r="AL36" i="11"/>
  <c r="AL38" i="11" s="1"/>
  <c r="L36" i="11"/>
  <c r="M36" i="11"/>
  <c r="K36" i="11"/>
  <c r="F36" i="11"/>
  <c r="G36" i="11"/>
  <c r="H36" i="11"/>
  <c r="I36" i="11"/>
  <c r="E36" i="11"/>
  <c r="E37" i="11" s="1"/>
  <c r="AC37" i="11"/>
  <c r="AD29" i="11"/>
  <c r="AD30" i="11" s="1"/>
  <c r="AE29" i="11"/>
  <c r="AE30" i="11" s="1"/>
  <c r="AF29" i="11"/>
  <c r="AF30" i="11" s="1"/>
  <c r="AG29" i="11"/>
  <c r="AG30" i="11" s="1"/>
  <c r="AH29" i="11"/>
  <c r="AH30" i="11" s="1"/>
  <c r="AI29" i="11"/>
  <c r="AI31" i="11" s="1"/>
  <c r="AJ29" i="11"/>
  <c r="AJ30" i="11" s="1"/>
  <c r="AK29" i="11"/>
  <c r="AK31" i="11" s="1"/>
  <c r="AL29" i="11"/>
  <c r="AL31" i="11" s="1"/>
  <c r="F29" i="11"/>
  <c r="G29" i="11"/>
  <c r="H29" i="11"/>
  <c r="I29" i="11"/>
  <c r="E29" i="11"/>
  <c r="AL30" i="11"/>
  <c r="AA24" i="11"/>
  <c r="AE25" i="11" s="1"/>
  <c r="AB24" i="11"/>
  <c r="AF25" i="11" s="1"/>
  <c r="AC24" i="11"/>
  <c r="AG25" i="11" s="1"/>
  <c r="AD24" i="11"/>
  <c r="AH25" i="11" s="1"/>
  <c r="AE24" i="11"/>
  <c r="AI25" i="11" s="1"/>
  <c r="AF24" i="11"/>
  <c r="AJ25" i="11" s="1"/>
  <c r="AG24" i="11"/>
  <c r="AK25" i="11" s="1"/>
  <c r="AH24" i="11"/>
  <c r="AL25" i="11" s="1"/>
  <c r="AI24" i="11"/>
  <c r="AJ24" i="11"/>
  <c r="AK24" i="11"/>
  <c r="AL24" i="11"/>
  <c r="I45" i="12" l="1"/>
  <c r="I6" i="12" s="1"/>
  <c r="AB37" i="11"/>
  <c r="AI41" i="11" s="1"/>
  <c r="G45" i="12"/>
  <c r="G6" i="12" s="1"/>
  <c r="E8" i="12"/>
  <c r="E11" i="12" s="1"/>
  <c r="D10" i="12"/>
  <c r="D12" i="12" s="1"/>
  <c r="AC7" i="11"/>
  <c r="D11" i="12"/>
  <c r="AB7" i="11"/>
  <c r="C12" i="12"/>
  <c r="G16" i="12"/>
  <c r="F7" i="12"/>
  <c r="E10" i="12"/>
  <c r="C45" i="12"/>
  <c r="C6" i="12" s="1"/>
  <c r="N45" i="12"/>
  <c r="N6" i="12" s="1"/>
  <c r="K45" i="12"/>
  <c r="K6" i="12" s="1"/>
  <c r="AD37" i="11"/>
  <c r="AI40" i="11" s="1"/>
  <c r="AH38" i="11"/>
  <c r="AH31" i="11"/>
  <c r="AK30" i="11"/>
  <c r="AJ31" i="11"/>
  <c r="AI30" i="11"/>
  <c r="AA7" i="11"/>
  <c r="AI37" i="11"/>
  <c r="AJ7" i="11"/>
  <c r="AA38" i="11"/>
  <c r="AH41" i="11" s="1"/>
  <c r="AD7" i="11"/>
  <c r="AD75" i="11"/>
  <c r="AG7" i="11"/>
  <c r="AL37" i="11"/>
  <c r="AE7" i="11"/>
  <c r="AE75" i="11"/>
  <c r="AH7" i="11"/>
  <c r="AF7" i="11"/>
  <c r="AF75" i="11"/>
  <c r="AI7" i="11"/>
  <c r="AL7" i="11"/>
  <c r="AK7" i="11"/>
  <c r="AJ37" i="11"/>
  <c r="AK37" i="11"/>
  <c r="AG38" i="11"/>
  <c r="AL40" i="11" s="1"/>
  <c r="AE37" i="11"/>
  <c r="AF40" i="11"/>
  <c r="AG40" i="11"/>
  <c r="AF38" i="11"/>
  <c r="AK40" i="11" s="1"/>
  <c r="AC38" i="11"/>
  <c r="AH40" i="11" s="1"/>
  <c r="AF31" i="11"/>
  <c r="AK33" i="11" s="1"/>
  <c r="AE31" i="11"/>
  <c r="AL34" i="11" s="1"/>
  <c r="AG31" i="11"/>
  <c r="AL33" i="11" s="1"/>
  <c r="AD31" i="11"/>
  <c r="AI33" i="11" s="1"/>
  <c r="AK41" i="11"/>
  <c r="F8" i="12" l="1"/>
  <c r="E9" i="12"/>
  <c r="C13" i="12"/>
  <c r="E12" i="12"/>
  <c r="D13" i="12"/>
  <c r="F10" i="12"/>
  <c r="F9" i="12"/>
  <c r="H16" i="12"/>
  <c r="G7" i="12"/>
  <c r="AJ40" i="11"/>
  <c r="AL41" i="11"/>
  <c r="AJ41" i="11"/>
  <c r="AJ33" i="11"/>
  <c r="AK34" i="11"/>
  <c r="F11" i="12" l="1"/>
  <c r="G8" i="12"/>
  <c r="F12" i="12"/>
  <c r="E13" i="12"/>
  <c r="I16" i="12"/>
  <c r="H7" i="12"/>
  <c r="G11" i="12"/>
  <c r="G10" i="12"/>
  <c r="G9" i="12"/>
  <c r="B103" i="11"/>
  <c r="B97" i="11"/>
  <c r="Z97" i="11" s="1"/>
  <c r="B91" i="11"/>
  <c r="Q91" i="11" s="1"/>
  <c r="Z83" i="11"/>
  <c r="Y83" i="11"/>
  <c r="X83" i="11"/>
  <c r="W83" i="11"/>
  <c r="V83" i="11"/>
  <c r="U83" i="11"/>
  <c r="T83" i="11"/>
  <c r="S83" i="11"/>
  <c r="R83" i="11"/>
  <c r="Q83" i="11"/>
  <c r="P83" i="11"/>
  <c r="O83" i="11"/>
  <c r="N83" i="11"/>
  <c r="M83" i="11"/>
  <c r="L83" i="11"/>
  <c r="K83" i="11"/>
  <c r="J83" i="11"/>
  <c r="I83" i="11"/>
  <c r="H83" i="11"/>
  <c r="G83" i="11"/>
  <c r="F83" i="11"/>
  <c r="Z80" i="11"/>
  <c r="Y80" i="11"/>
  <c r="X80" i="11"/>
  <c r="W80" i="11"/>
  <c r="V80" i="11"/>
  <c r="U80" i="11"/>
  <c r="T80" i="11"/>
  <c r="S80" i="11"/>
  <c r="R80" i="11"/>
  <c r="Q80" i="11"/>
  <c r="P80" i="11"/>
  <c r="O80" i="11"/>
  <c r="N80" i="11"/>
  <c r="L80" i="11"/>
  <c r="K80" i="11"/>
  <c r="I80" i="11"/>
  <c r="G80" i="11"/>
  <c r="G7" i="11" s="1"/>
  <c r="E80" i="11"/>
  <c r="E7" i="11" s="1"/>
  <c r="B78" i="11"/>
  <c r="I75" i="11"/>
  <c r="H75" i="11"/>
  <c r="G75" i="11"/>
  <c r="F75" i="11"/>
  <c r="E75" i="11"/>
  <c r="Z73" i="11"/>
  <c r="Y73" i="11"/>
  <c r="X73" i="11"/>
  <c r="W73" i="11"/>
  <c r="V73" i="11"/>
  <c r="U73" i="11"/>
  <c r="T73" i="11"/>
  <c r="B71" i="11"/>
  <c r="Z66" i="11"/>
  <c r="Y66" i="11"/>
  <c r="X66" i="11"/>
  <c r="W66" i="11"/>
  <c r="V66" i="11"/>
  <c r="U66" i="11"/>
  <c r="T66" i="11"/>
  <c r="S66" i="11"/>
  <c r="R66" i="11"/>
  <c r="Q66" i="11"/>
  <c r="P66" i="11"/>
  <c r="O66" i="11"/>
  <c r="N66" i="11"/>
  <c r="L66" i="11"/>
  <c r="K66" i="11"/>
  <c r="I66" i="11"/>
  <c r="B64" i="11"/>
  <c r="Z59" i="11"/>
  <c r="Y59" i="11"/>
  <c r="X59" i="11"/>
  <c r="W59" i="11"/>
  <c r="V59" i="11"/>
  <c r="U59" i="11"/>
  <c r="T59" i="11"/>
  <c r="S59" i="11"/>
  <c r="R59" i="11"/>
  <c r="Q59" i="11"/>
  <c r="B56" i="11"/>
  <c r="Z51" i="11"/>
  <c r="Y51" i="11"/>
  <c r="X51" i="11"/>
  <c r="W51" i="11"/>
  <c r="V51" i="11"/>
  <c r="U51" i="11"/>
  <c r="T51" i="11"/>
  <c r="S51" i="11"/>
  <c r="R51" i="11"/>
  <c r="Q51" i="11"/>
  <c r="P51" i="11"/>
  <c r="O51" i="11"/>
  <c r="N51" i="11"/>
  <c r="L51" i="11"/>
  <c r="K51" i="11"/>
  <c r="I51" i="11"/>
  <c r="B48" i="11"/>
  <c r="M80" i="11"/>
  <c r="J80" i="11"/>
  <c r="H80" i="11"/>
  <c r="F80" i="11"/>
  <c r="F7" i="11" s="1"/>
  <c r="Z38" i="11"/>
  <c r="Y38" i="11"/>
  <c r="X38" i="11"/>
  <c r="W38" i="11"/>
  <c r="V38" i="11"/>
  <c r="U38" i="11"/>
  <c r="T38" i="11"/>
  <c r="S38" i="11"/>
  <c r="R38" i="11"/>
  <c r="Q38" i="11"/>
  <c r="P38" i="11"/>
  <c r="O38" i="11"/>
  <c r="N38" i="11"/>
  <c r="M38" i="11"/>
  <c r="L38" i="11"/>
  <c r="K38" i="11"/>
  <c r="J38" i="11"/>
  <c r="I38" i="11"/>
  <c r="H38" i="11"/>
  <c r="G38" i="11"/>
  <c r="F38" i="11"/>
  <c r="E38" i="11"/>
  <c r="Z37" i="11"/>
  <c r="Y37" i="11"/>
  <c r="X37" i="11"/>
  <c r="W37" i="11"/>
  <c r="V37" i="11"/>
  <c r="U37" i="11"/>
  <c r="T37" i="11"/>
  <c r="S37" i="11"/>
  <c r="R37" i="11"/>
  <c r="Q37" i="11"/>
  <c r="P37" i="11"/>
  <c r="O37" i="11"/>
  <c r="N37" i="11"/>
  <c r="M37" i="11"/>
  <c r="L37" i="11"/>
  <c r="K37" i="11"/>
  <c r="J37" i="11"/>
  <c r="I37" i="11"/>
  <c r="H37" i="11"/>
  <c r="G37" i="11"/>
  <c r="F37" i="11"/>
  <c r="I31" i="11"/>
  <c r="H31" i="11"/>
  <c r="G31" i="11"/>
  <c r="F31" i="11"/>
  <c r="E31" i="11"/>
  <c r="I30" i="11"/>
  <c r="H30" i="11"/>
  <c r="G30" i="11"/>
  <c r="F30" i="11"/>
  <c r="E30" i="11"/>
  <c r="Z24" i="11"/>
  <c r="AD25" i="11" s="1"/>
  <c r="Y24" i="11"/>
  <c r="AC25" i="11" s="1"/>
  <c r="X24" i="11"/>
  <c r="AB25" i="11" s="1"/>
  <c r="W24" i="11"/>
  <c r="AA25" i="11" s="1"/>
  <c r="V24" i="11"/>
  <c r="Z25" i="11" s="1"/>
  <c r="U24" i="11"/>
  <c r="Y25" i="11" s="1"/>
  <c r="T24" i="11"/>
  <c r="X25" i="11" s="1"/>
  <c r="S24" i="11"/>
  <c r="W25" i="11" s="1"/>
  <c r="R24" i="11"/>
  <c r="V25" i="11" s="1"/>
  <c r="Q24" i="11"/>
  <c r="U25" i="11" s="1"/>
  <c r="P24" i="11"/>
  <c r="T25" i="11" s="1"/>
  <c r="O24" i="11"/>
  <c r="S25" i="11" s="1"/>
  <c r="N24" i="11"/>
  <c r="R25" i="11" s="1"/>
  <c r="M24" i="11"/>
  <c r="Q25" i="11" s="1"/>
  <c r="L24" i="11"/>
  <c r="P25" i="11" s="1"/>
  <c r="K24" i="11"/>
  <c r="O25" i="11" s="1"/>
  <c r="J24" i="11"/>
  <c r="N25" i="11" s="1"/>
  <c r="I24" i="11"/>
  <c r="M25" i="11" s="1"/>
  <c r="I19" i="11"/>
  <c r="P21" i="11" s="1"/>
  <c r="J18" i="11"/>
  <c r="I13" i="11"/>
  <c r="I14" i="11" s="1"/>
  <c r="H13" i="11"/>
  <c r="G13" i="11"/>
  <c r="G14" i="11" s="1"/>
  <c r="F13" i="11"/>
  <c r="F14" i="11" s="1"/>
  <c r="E13" i="11"/>
  <c r="E14" i="11" s="1"/>
  <c r="D13" i="11"/>
  <c r="C13" i="11"/>
  <c r="D9" i="11"/>
  <c r="C9" i="11"/>
  <c r="I8" i="11"/>
  <c r="H8" i="11"/>
  <c r="G8" i="11"/>
  <c r="F8" i="11"/>
  <c r="E8" i="11"/>
  <c r="D8" i="11"/>
  <c r="C8" i="11"/>
  <c r="D7" i="11"/>
  <c r="C7" i="11"/>
  <c r="C3" i="11"/>
  <c r="D3" i="11" s="1"/>
  <c r="E3" i="11" s="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AH3" i="11" s="1"/>
  <c r="AI3" i="11" s="1"/>
  <c r="AJ3" i="11" s="1"/>
  <c r="AK3" i="11" s="1"/>
  <c r="AL3" i="11" s="1"/>
  <c r="D14" i="11" l="1"/>
  <c r="H8" i="12"/>
  <c r="H10" i="12" s="1"/>
  <c r="C14" i="11"/>
  <c r="G12" i="12"/>
  <c r="F13" i="12"/>
  <c r="H11" i="12"/>
  <c r="J16" i="12"/>
  <c r="I7" i="12"/>
  <c r="R7" i="11"/>
  <c r="O97" i="11"/>
  <c r="W40" i="11"/>
  <c r="M40" i="11"/>
  <c r="Y40" i="11"/>
  <c r="L7" i="11"/>
  <c r="P91" i="11"/>
  <c r="O34" i="11"/>
  <c r="I7" i="11"/>
  <c r="W7" i="11"/>
  <c r="K7" i="11"/>
  <c r="X7" i="11"/>
  <c r="T91" i="11"/>
  <c r="AG91" i="11"/>
  <c r="AH91" i="11"/>
  <c r="AD91" i="11"/>
  <c r="AJ91" i="11"/>
  <c r="AE91" i="11"/>
  <c r="AK91" i="11"/>
  <c r="AF91" i="11"/>
  <c r="AL91" i="11"/>
  <c r="AI91" i="11"/>
  <c r="Y91" i="11"/>
  <c r="Z103" i="11"/>
  <c r="AE103" i="11"/>
  <c r="AF103" i="11"/>
  <c r="AI103" i="11"/>
  <c r="AD103" i="11"/>
  <c r="AJ103" i="11"/>
  <c r="AK103" i="11"/>
  <c r="AG103" i="11"/>
  <c r="AH103" i="11"/>
  <c r="AL103" i="11"/>
  <c r="Q7" i="11"/>
  <c r="K18" i="11"/>
  <c r="K29" i="11" s="1"/>
  <c r="J29" i="11"/>
  <c r="J8" i="11" s="1"/>
  <c r="J91" i="11"/>
  <c r="Z91" i="11"/>
  <c r="D10" i="11"/>
  <c r="D11" i="11"/>
  <c r="S7" i="11"/>
  <c r="Y7" i="11"/>
  <c r="O7" i="11"/>
  <c r="U7" i="11"/>
  <c r="N7" i="11"/>
  <c r="K91" i="11"/>
  <c r="W97" i="11"/>
  <c r="AG97" i="11"/>
  <c r="AH97" i="11"/>
  <c r="AI97" i="11"/>
  <c r="AD97" i="11"/>
  <c r="AJ97" i="11"/>
  <c r="AE97" i="11"/>
  <c r="AK97" i="11"/>
  <c r="AF97" i="11"/>
  <c r="AL97" i="11"/>
  <c r="C10" i="11"/>
  <c r="C11" i="11"/>
  <c r="V7" i="11"/>
  <c r="L91" i="11"/>
  <c r="N97" i="11"/>
  <c r="H9" i="11"/>
  <c r="H10" i="11" s="1"/>
  <c r="O40" i="11"/>
  <c r="N40" i="11"/>
  <c r="AF41" i="11"/>
  <c r="AD40" i="11"/>
  <c r="X41" i="11"/>
  <c r="L40" i="11"/>
  <c r="X40" i="11"/>
  <c r="Y41" i="11"/>
  <c r="AE40" i="11"/>
  <c r="AG41" i="11"/>
  <c r="M41" i="11"/>
  <c r="O41" i="11"/>
  <c r="AA41" i="11"/>
  <c r="V41" i="11"/>
  <c r="Z40" i="11"/>
  <c r="AB41" i="11"/>
  <c r="AA40" i="11"/>
  <c r="AC41" i="11"/>
  <c r="P40" i="11"/>
  <c r="AD41" i="11"/>
  <c r="AB40" i="11"/>
  <c r="U40" i="11"/>
  <c r="Q40" i="11"/>
  <c r="AC40" i="11"/>
  <c r="AE41" i="11"/>
  <c r="N34" i="11"/>
  <c r="L34" i="11"/>
  <c r="J33" i="11"/>
  <c r="AD8" i="11"/>
  <c r="AD19" i="11"/>
  <c r="L41" i="11"/>
  <c r="E9" i="11"/>
  <c r="T41" i="11"/>
  <c r="H14" i="11"/>
  <c r="M34" i="11"/>
  <c r="F9" i="11"/>
  <c r="K33" i="11"/>
  <c r="M33" i="11"/>
  <c r="Z7" i="11"/>
  <c r="N41" i="11"/>
  <c r="Z41" i="11"/>
  <c r="K40" i="11"/>
  <c r="U91" i="11"/>
  <c r="Q97" i="11"/>
  <c r="H103" i="11"/>
  <c r="P34" i="11"/>
  <c r="U41" i="11"/>
  <c r="W41" i="11"/>
  <c r="R40" i="11"/>
  <c r="P41" i="11"/>
  <c r="P7" i="11"/>
  <c r="M91" i="11"/>
  <c r="V91" i="11"/>
  <c r="H97" i="11"/>
  <c r="T97" i="11"/>
  <c r="O103" i="11"/>
  <c r="J19" i="11"/>
  <c r="Q21" i="11" s="1"/>
  <c r="R41" i="11"/>
  <c r="S40" i="11"/>
  <c r="N91" i="11"/>
  <c r="W91" i="11"/>
  <c r="L97" i="11"/>
  <c r="X97" i="11"/>
  <c r="P103" i="11"/>
  <c r="G9" i="11"/>
  <c r="T7" i="11"/>
  <c r="I91" i="11"/>
  <c r="O91" i="11"/>
  <c r="X91" i="11"/>
  <c r="M97" i="11"/>
  <c r="Y97" i="11"/>
  <c r="T103" i="11"/>
  <c r="H66" i="11"/>
  <c r="L33" i="11"/>
  <c r="T40" i="11"/>
  <c r="Q41" i="11"/>
  <c r="J66" i="11"/>
  <c r="Q103" i="11"/>
  <c r="I9" i="11"/>
  <c r="R103" i="11"/>
  <c r="N33" i="11"/>
  <c r="J40" i="11"/>
  <c r="V40" i="11"/>
  <c r="S41" i="11"/>
  <c r="P97" i="11"/>
  <c r="G103" i="11"/>
  <c r="S103" i="11"/>
  <c r="H51" i="11"/>
  <c r="M66" i="11"/>
  <c r="R97" i="11"/>
  <c r="I103" i="11"/>
  <c r="U103" i="11"/>
  <c r="J51" i="11"/>
  <c r="G97" i="11"/>
  <c r="S97" i="11"/>
  <c r="J103" i="11"/>
  <c r="V103" i="11"/>
  <c r="N20" i="11"/>
  <c r="K103" i="11"/>
  <c r="W103" i="11"/>
  <c r="R91" i="11"/>
  <c r="I97" i="11"/>
  <c r="U97" i="11"/>
  <c r="L103" i="11"/>
  <c r="X103" i="11"/>
  <c r="M51" i="11"/>
  <c r="G91" i="11"/>
  <c r="S91" i="11"/>
  <c r="J97" i="11"/>
  <c r="V97" i="11"/>
  <c r="M103" i="11"/>
  <c r="Y103" i="11"/>
  <c r="H91" i="11"/>
  <c r="K97" i="11"/>
  <c r="N103" i="11"/>
  <c r="H9" i="12" l="1"/>
  <c r="E11" i="11"/>
  <c r="F11" i="11"/>
  <c r="I8" i="12"/>
  <c r="H12" i="12"/>
  <c r="G13" i="12"/>
  <c r="K16" i="12"/>
  <c r="J7" i="12"/>
  <c r="K8" i="11"/>
  <c r="J7" i="11"/>
  <c r="L18" i="11"/>
  <c r="L29" i="11" s="1"/>
  <c r="L30" i="11" s="1"/>
  <c r="K19" i="11"/>
  <c r="P20" i="11" s="1"/>
  <c r="J13" i="11"/>
  <c r="J14" i="11" s="1"/>
  <c r="I11" i="11"/>
  <c r="M7" i="11"/>
  <c r="C12" i="11"/>
  <c r="J75" i="11"/>
  <c r="J30" i="11"/>
  <c r="J31" i="11"/>
  <c r="K30" i="11"/>
  <c r="K31" i="11"/>
  <c r="K75" i="11"/>
  <c r="H11" i="11"/>
  <c r="D12" i="11"/>
  <c r="G11" i="11"/>
  <c r="M13" i="11"/>
  <c r="M14" i="11" s="1"/>
  <c r="L13" i="11"/>
  <c r="L14" i="11" s="1"/>
  <c r="AE8" i="11"/>
  <c r="AE19" i="11"/>
  <c r="AI20" i="11"/>
  <c r="AD9" i="11"/>
  <c r="AK21" i="11"/>
  <c r="F10" i="11"/>
  <c r="O20" i="11"/>
  <c r="E10" i="11"/>
  <c r="G10" i="11"/>
  <c r="I10" i="11"/>
  <c r="K13" i="11"/>
  <c r="H7" i="11"/>
  <c r="N13" i="11"/>
  <c r="R21" i="11" l="1"/>
  <c r="L19" i="11"/>
  <c r="I9" i="12"/>
  <c r="J8" i="12"/>
  <c r="J10" i="12" s="1"/>
  <c r="I10" i="12"/>
  <c r="I11" i="12"/>
  <c r="H13" i="12"/>
  <c r="L16" i="12"/>
  <c r="K7" i="12"/>
  <c r="J9" i="11"/>
  <c r="J10" i="11" s="1"/>
  <c r="K9" i="11"/>
  <c r="K10" i="11" s="1"/>
  <c r="L75" i="11"/>
  <c r="M18" i="11"/>
  <c r="M29" i="11" s="1"/>
  <c r="M31" i="11" s="1"/>
  <c r="L31" i="11"/>
  <c r="Q33" i="11" s="1"/>
  <c r="L8" i="11"/>
  <c r="R34" i="11"/>
  <c r="P33" i="11"/>
  <c r="P13" i="11" s="1"/>
  <c r="P14" i="11" s="1"/>
  <c r="Q34" i="11"/>
  <c r="O33" i="11"/>
  <c r="O13" i="11" s="1"/>
  <c r="O14" i="11" s="1"/>
  <c r="AD10" i="11"/>
  <c r="AD11" i="11"/>
  <c r="AD12" i="11" s="1"/>
  <c r="AE9" i="11"/>
  <c r="AJ20" i="11"/>
  <c r="AL21" i="11"/>
  <c r="AF8" i="11"/>
  <c r="AF19" i="11"/>
  <c r="G12" i="11"/>
  <c r="N14" i="11"/>
  <c r="K14" i="11"/>
  <c r="H12" i="11"/>
  <c r="Q20" i="11"/>
  <c r="L9" i="11"/>
  <c r="S21" i="11"/>
  <c r="J11" i="12" l="1"/>
  <c r="J11" i="11"/>
  <c r="J12" i="11" s="1"/>
  <c r="J9" i="12"/>
  <c r="I12" i="12"/>
  <c r="I13" i="12" s="1"/>
  <c r="K8" i="12"/>
  <c r="K9" i="12" s="1"/>
  <c r="J12" i="12"/>
  <c r="L7" i="12"/>
  <c r="M16" i="12"/>
  <c r="K11" i="11"/>
  <c r="S34" i="11"/>
  <c r="M8" i="11"/>
  <c r="L11" i="11"/>
  <c r="M75" i="11"/>
  <c r="M30" i="11"/>
  <c r="R33" i="11" s="1"/>
  <c r="N18" i="11"/>
  <c r="N29" i="11" s="1"/>
  <c r="N30" i="11" s="1"/>
  <c r="M19" i="11"/>
  <c r="Q13" i="11"/>
  <c r="Q14" i="11" s="1"/>
  <c r="AG8" i="11"/>
  <c r="AG19" i="11"/>
  <c r="AE10" i="11"/>
  <c r="AE11" i="11"/>
  <c r="AE12" i="11" s="1"/>
  <c r="AF9" i="11"/>
  <c r="AK20" i="11"/>
  <c r="AK13" i="11" s="1"/>
  <c r="AK14" i="11" s="1"/>
  <c r="I12" i="11"/>
  <c r="F12" i="11"/>
  <c r="L10" i="11"/>
  <c r="E12" i="11"/>
  <c r="O18" i="11"/>
  <c r="O29" i="11" s="1"/>
  <c r="K10" i="12" l="1"/>
  <c r="K11" i="12"/>
  <c r="N75" i="11"/>
  <c r="L8" i="12"/>
  <c r="L10" i="12" s="1"/>
  <c r="N31" i="11"/>
  <c r="S33" i="11" s="1"/>
  <c r="N8" i="11"/>
  <c r="J13" i="12"/>
  <c r="N16" i="12"/>
  <c r="M7" i="12"/>
  <c r="M9" i="11"/>
  <c r="M11" i="11" s="1"/>
  <c r="R20" i="11"/>
  <c r="R13" i="11" s="1"/>
  <c r="R14" i="11" s="1"/>
  <c r="T21" i="11"/>
  <c r="T34" i="11"/>
  <c r="N19" i="11"/>
  <c r="U21" i="11" s="1"/>
  <c r="O75" i="11"/>
  <c r="O31" i="11"/>
  <c r="O30" i="11"/>
  <c r="AF10" i="11"/>
  <c r="AF11" i="11"/>
  <c r="AF12" i="11" s="1"/>
  <c r="AG9" i="11"/>
  <c r="AL20" i="11"/>
  <c r="AL13" i="11" s="1"/>
  <c r="AL14" i="11" s="1"/>
  <c r="AH8" i="11"/>
  <c r="AH19" i="11"/>
  <c r="AH9" i="11" s="1"/>
  <c r="M10" i="11"/>
  <c r="K12" i="11"/>
  <c r="O8" i="11"/>
  <c r="O19" i="11"/>
  <c r="P18" i="11"/>
  <c r="P29" i="11" s="1"/>
  <c r="L11" i="12" l="1"/>
  <c r="L9" i="12"/>
  <c r="K12" i="12"/>
  <c r="N9" i="11"/>
  <c r="N11" i="11" s="1"/>
  <c r="U34" i="11"/>
  <c r="M8" i="12"/>
  <c r="M10" i="12" s="1"/>
  <c r="L12" i="12"/>
  <c r="O16" i="12"/>
  <c r="N7" i="12"/>
  <c r="S20" i="11"/>
  <c r="S13" i="11" s="1"/>
  <c r="S14" i="11" s="1"/>
  <c r="T33" i="11"/>
  <c r="V34" i="11"/>
  <c r="P75" i="11"/>
  <c r="P30" i="11"/>
  <c r="P31" i="11"/>
  <c r="AH10" i="11"/>
  <c r="AH11" i="11"/>
  <c r="AH12" i="11" s="1"/>
  <c r="AI8" i="11"/>
  <c r="AI19" i="11"/>
  <c r="AI9" i="11" s="1"/>
  <c r="AG10" i="11"/>
  <c r="AG11" i="11"/>
  <c r="AG12" i="11" s="1"/>
  <c r="N10" i="11"/>
  <c r="L12" i="11"/>
  <c r="O9" i="11"/>
  <c r="O11" i="11" s="1"/>
  <c r="V21" i="11"/>
  <c r="T20" i="11"/>
  <c r="P8" i="11"/>
  <c r="P19" i="11"/>
  <c r="Q18" i="11"/>
  <c r="Q29" i="11" s="1"/>
  <c r="T13" i="11" l="1"/>
  <c r="T14" i="11" s="1"/>
  <c r="K13" i="12"/>
  <c r="M11" i="12"/>
  <c r="M9" i="12"/>
  <c r="N8" i="12"/>
  <c r="N9" i="12" s="1"/>
  <c r="M12" i="12"/>
  <c r="L13" i="12"/>
  <c r="P16" i="12"/>
  <c r="O7" i="12"/>
  <c r="Q30" i="11"/>
  <c r="Q75" i="11"/>
  <c r="Q31" i="11"/>
  <c r="W34" i="11"/>
  <c r="U33" i="11"/>
  <c r="AJ8" i="11"/>
  <c r="AJ19" i="11"/>
  <c r="AJ9" i="11" s="1"/>
  <c r="AI10" i="11"/>
  <c r="AI11" i="11"/>
  <c r="AI12" i="11" s="1"/>
  <c r="M12" i="11"/>
  <c r="O10" i="11"/>
  <c r="Q8" i="11"/>
  <c r="Q19" i="11"/>
  <c r="R18" i="11"/>
  <c r="R29" i="11" s="1"/>
  <c r="P9" i="11"/>
  <c r="P11" i="11" s="1"/>
  <c r="W21" i="11"/>
  <c r="U20" i="11"/>
  <c r="N10" i="12" l="1"/>
  <c r="N11" i="12"/>
  <c r="O8" i="12"/>
  <c r="N12" i="12"/>
  <c r="M13" i="12"/>
  <c r="Q16" i="12"/>
  <c r="P7" i="12"/>
  <c r="U13" i="11"/>
  <c r="R30" i="11"/>
  <c r="R31" i="11"/>
  <c r="R75" i="11"/>
  <c r="X34" i="11"/>
  <c r="V33" i="11"/>
  <c r="AK8" i="11"/>
  <c r="AK19" i="11"/>
  <c r="AK9" i="11" s="1"/>
  <c r="AJ10" i="11"/>
  <c r="AJ11" i="11"/>
  <c r="AJ12" i="11" s="1"/>
  <c r="N12" i="11"/>
  <c r="P10" i="11"/>
  <c r="U14" i="11"/>
  <c r="R19" i="11"/>
  <c r="S18" i="11"/>
  <c r="S29" i="11" s="1"/>
  <c r="R8" i="11"/>
  <c r="Q9" i="11"/>
  <c r="Q11" i="11" s="1"/>
  <c r="X21" i="11"/>
  <c r="V20" i="11"/>
  <c r="O9" i="12" l="1"/>
  <c r="O10" i="12"/>
  <c r="O11" i="12"/>
  <c r="P8" i="12"/>
  <c r="N13" i="12"/>
  <c r="R16" i="12"/>
  <c r="Q7" i="12"/>
  <c r="V13" i="11"/>
  <c r="S31" i="11"/>
  <c r="S30" i="11"/>
  <c r="S75" i="11"/>
  <c r="Y34" i="11"/>
  <c r="W33" i="11"/>
  <c r="AL8" i="11"/>
  <c r="AL19" i="11"/>
  <c r="AL9" i="11" s="1"/>
  <c r="AK10" i="11"/>
  <c r="AK11" i="11"/>
  <c r="AK12" i="11" s="1"/>
  <c r="V14" i="11"/>
  <c r="Q10" i="11"/>
  <c r="O12" i="11"/>
  <c r="T18" i="11"/>
  <c r="T29" i="11" s="1"/>
  <c r="S8" i="11"/>
  <c r="S19" i="11"/>
  <c r="Y21" i="11"/>
  <c r="W20" i="11"/>
  <c r="R9" i="11"/>
  <c r="R11" i="11" s="1"/>
  <c r="P11" i="12" l="1"/>
  <c r="O12" i="12"/>
  <c r="Q8" i="12"/>
  <c r="Q10" i="12" s="1"/>
  <c r="P9" i="12"/>
  <c r="P10" i="12"/>
  <c r="O13" i="12"/>
  <c r="S16" i="12"/>
  <c r="R7" i="12"/>
  <c r="T31" i="11"/>
  <c r="T75" i="11"/>
  <c r="T30" i="11"/>
  <c r="W13" i="11"/>
  <c r="W14" i="11" s="1"/>
  <c r="Z34" i="11"/>
  <c r="X33" i="11"/>
  <c r="AL11" i="11"/>
  <c r="AL12" i="11" s="1"/>
  <c r="AL10" i="11"/>
  <c r="P12" i="11"/>
  <c r="R10" i="11"/>
  <c r="Z21" i="11"/>
  <c r="X20" i="11"/>
  <c r="S9" i="11"/>
  <c r="S11" i="11" s="1"/>
  <c r="U18" i="11"/>
  <c r="U29" i="11" s="1"/>
  <c r="T8" i="11"/>
  <c r="T19" i="11"/>
  <c r="AA21" i="11" s="1"/>
  <c r="Q9" i="12" l="1"/>
  <c r="Q11" i="12"/>
  <c r="R8" i="12"/>
  <c r="P12" i="12"/>
  <c r="Q12" i="12"/>
  <c r="T16" i="12"/>
  <c r="S7" i="12"/>
  <c r="Y33" i="11"/>
  <c r="U75" i="11"/>
  <c r="U30" i="11"/>
  <c r="U31" i="11"/>
  <c r="AA34" i="11"/>
  <c r="X13" i="11"/>
  <c r="X14" i="11" s="1"/>
  <c r="Q12" i="11"/>
  <c r="S10" i="11"/>
  <c r="Y20" i="11"/>
  <c r="T9" i="11"/>
  <c r="T11" i="11" s="1"/>
  <c r="V18" i="11"/>
  <c r="V29" i="11" s="1"/>
  <c r="U8" i="11"/>
  <c r="U19" i="11"/>
  <c r="AB21" i="11" s="1"/>
  <c r="R9" i="12" l="1"/>
  <c r="R10" i="12"/>
  <c r="R12" i="12" s="1"/>
  <c r="R11" i="12"/>
  <c r="P13" i="12"/>
  <c r="S8" i="12"/>
  <c r="S11" i="12" s="1"/>
  <c r="Y13" i="11"/>
  <c r="Y14" i="11" s="1"/>
  <c r="Q13" i="12"/>
  <c r="U16" i="12"/>
  <c r="T7" i="12"/>
  <c r="V75" i="11"/>
  <c r="V30" i="11"/>
  <c r="V31" i="11"/>
  <c r="AB34" i="11"/>
  <c r="Z33" i="11"/>
  <c r="R12" i="11"/>
  <c r="T10" i="11"/>
  <c r="Z20" i="11"/>
  <c r="U9" i="11"/>
  <c r="U11" i="11" s="1"/>
  <c r="W18" i="11"/>
  <c r="W29" i="11" s="1"/>
  <c r="V8" i="11"/>
  <c r="V19" i="11"/>
  <c r="S9" i="12" l="1"/>
  <c r="S10" i="12"/>
  <c r="T8" i="12"/>
  <c r="R13" i="12"/>
  <c r="U7" i="12"/>
  <c r="V16" i="12"/>
  <c r="Z13" i="11"/>
  <c r="Z14" i="11" s="1"/>
  <c r="W30" i="11"/>
  <c r="W31" i="11"/>
  <c r="W75" i="11"/>
  <c r="V9" i="11"/>
  <c r="V11" i="11" s="1"/>
  <c r="AA20" i="11"/>
  <c r="AC21" i="11"/>
  <c r="AC34" i="11"/>
  <c r="AA33" i="11"/>
  <c r="S12" i="11"/>
  <c r="U10" i="11"/>
  <c r="X18" i="11"/>
  <c r="X29" i="11" s="1"/>
  <c r="W8" i="11"/>
  <c r="W19" i="11"/>
  <c r="T9" i="12" l="1"/>
  <c r="T10" i="12"/>
  <c r="S12" i="12"/>
  <c r="AA13" i="11"/>
  <c r="AA14" i="11" s="1"/>
  <c r="T11" i="12"/>
  <c r="U8" i="12"/>
  <c r="T12" i="12"/>
  <c r="V7" i="12"/>
  <c r="W16" i="12"/>
  <c r="V10" i="11"/>
  <c r="X31" i="11"/>
  <c r="X75" i="11"/>
  <c r="X30" i="11"/>
  <c r="W9" i="11"/>
  <c r="W11" i="11" s="1"/>
  <c r="AB20" i="11"/>
  <c r="AD21" i="11"/>
  <c r="AD34" i="11"/>
  <c r="AB33" i="11"/>
  <c r="T12" i="11"/>
  <c r="X8" i="11"/>
  <c r="X19" i="11"/>
  <c r="Y18" i="11"/>
  <c r="Y29" i="11" s="1"/>
  <c r="U10" i="12" l="1"/>
  <c r="U11" i="12"/>
  <c r="S13" i="12"/>
  <c r="U9" i="12"/>
  <c r="V8" i="12"/>
  <c r="V10" i="12" s="1"/>
  <c r="T13" i="12"/>
  <c r="X16" i="12"/>
  <c r="W7" i="12"/>
  <c r="AB13" i="11"/>
  <c r="AB14" i="11" s="1"/>
  <c r="W10" i="11"/>
  <c r="X9" i="11"/>
  <c r="X11" i="11" s="1"/>
  <c r="AE21" i="11"/>
  <c r="AC20" i="11"/>
  <c r="AC33" i="11"/>
  <c r="AE34" i="11"/>
  <c r="Y31" i="11"/>
  <c r="Y30" i="11"/>
  <c r="Y75" i="11"/>
  <c r="V12" i="11"/>
  <c r="U12" i="11"/>
  <c r="Y8" i="11"/>
  <c r="Y19" i="11"/>
  <c r="Z18" i="11"/>
  <c r="V11" i="12" l="1"/>
  <c r="V9" i="12"/>
  <c r="U12" i="12"/>
  <c r="W8" i="12"/>
  <c r="W11" i="12" s="1"/>
  <c r="V12" i="12"/>
  <c r="Y16" i="12"/>
  <c r="X7" i="12"/>
  <c r="X10" i="11"/>
  <c r="Y9" i="11"/>
  <c r="Y11" i="11" s="1"/>
  <c r="AD20" i="11"/>
  <c r="AF21" i="11"/>
  <c r="AC13" i="11"/>
  <c r="AC14" i="11" s="1"/>
  <c r="Z29" i="11"/>
  <c r="Z8" i="11" s="1"/>
  <c r="AA18" i="11"/>
  <c r="AD33" i="11"/>
  <c r="AF34" i="11"/>
  <c r="W12" i="11"/>
  <c r="Z19" i="11"/>
  <c r="W9" i="12" l="1"/>
  <c r="U13" i="12"/>
  <c r="W10" i="12"/>
  <c r="X8" i="12"/>
  <c r="W12" i="12"/>
  <c r="V13" i="12"/>
  <c r="Y7" i="12"/>
  <c r="Z16" i="12"/>
  <c r="Y10" i="11"/>
  <c r="AE20" i="11"/>
  <c r="AG21" i="11"/>
  <c r="Z75" i="11"/>
  <c r="Z30" i="11"/>
  <c r="Z31" i="11"/>
  <c r="AA19" i="11"/>
  <c r="AA29" i="11"/>
  <c r="AA8" i="11" s="1"/>
  <c r="AA100" i="11"/>
  <c r="AA103" i="11" s="1"/>
  <c r="AA94" i="11"/>
  <c r="AA97" i="11" s="1"/>
  <c r="AA88" i="11"/>
  <c r="AA91" i="11" s="1"/>
  <c r="AB18" i="11"/>
  <c r="AD13" i="11"/>
  <c r="AD14" i="11" s="1"/>
  <c r="X12" i="11"/>
  <c r="C3" i="1"/>
  <c r="X11" i="12" l="1"/>
  <c r="X9" i="12"/>
  <c r="X10" i="12"/>
  <c r="Y8" i="12"/>
  <c r="X12" i="12"/>
  <c r="W13" i="12"/>
  <c r="AA16" i="12"/>
  <c r="Z7" i="12"/>
  <c r="AE33" i="11"/>
  <c r="AE13" i="11" s="1"/>
  <c r="AE14" i="11" s="1"/>
  <c r="AG34" i="11"/>
  <c r="AH21" i="11"/>
  <c r="AF20" i="11"/>
  <c r="AA30" i="11"/>
  <c r="AA31" i="11"/>
  <c r="AA75" i="11"/>
  <c r="AB100" i="11"/>
  <c r="AB103" i="11" s="1"/>
  <c r="AB94" i="11"/>
  <c r="AB97" i="11" s="1"/>
  <c r="AB88" i="11"/>
  <c r="AB91" i="11" s="1"/>
  <c r="AB29" i="11"/>
  <c r="AB19" i="11"/>
  <c r="AC18" i="11"/>
  <c r="Z9" i="11"/>
  <c r="Y12" i="11"/>
  <c r="Y9" i="12" l="1"/>
  <c r="Y11" i="12"/>
  <c r="Y10" i="12"/>
  <c r="Z8" i="12"/>
  <c r="X13" i="12"/>
  <c r="AB16" i="12"/>
  <c r="AA7" i="12"/>
  <c r="AG20" i="11"/>
  <c r="AI21" i="11"/>
  <c r="AB75" i="11"/>
  <c r="AB30" i="11"/>
  <c r="AB31" i="11"/>
  <c r="AF33" i="11"/>
  <c r="AF13" i="11" s="1"/>
  <c r="AF14" i="11" s="1"/>
  <c r="AH34" i="11"/>
  <c r="Z11" i="11"/>
  <c r="Z12" i="11" s="1"/>
  <c r="Z10" i="11"/>
  <c r="AC29" i="11"/>
  <c r="AC8" i="11" s="1"/>
  <c r="AC100" i="11"/>
  <c r="AC103" i="11" s="1"/>
  <c r="AC94" i="11"/>
  <c r="AC97" i="11" s="1"/>
  <c r="AC88" i="11"/>
  <c r="AC91" i="11" s="1"/>
  <c r="AC19" i="11"/>
  <c r="AB8" i="11"/>
  <c r="AA9" i="11"/>
  <c r="Z9" i="12" l="1"/>
  <c r="Z10" i="12"/>
  <c r="Z12" i="12" s="1"/>
  <c r="Z11" i="12"/>
  <c r="Y12" i="12"/>
  <c r="AA8" i="12"/>
  <c r="AA11" i="12" s="1"/>
  <c r="AC16" i="12"/>
  <c r="AB7" i="12"/>
  <c r="AA10" i="11"/>
  <c r="AA11" i="11"/>
  <c r="AG33" i="11"/>
  <c r="AG13" i="11" s="1"/>
  <c r="AG14" i="11" s="1"/>
  <c r="AI34" i="11"/>
  <c r="AI13" i="11" s="1"/>
  <c r="AI14" i="11" s="1"/>
  <c r="AH20" i="11"/>
  <c r="AJ21" i="11"/>
  <c r="AC30" i="11"/>
  <c r="AC75" i="11"/>
  <c r="AC31" i="11"/>
  <c r="AB9" i="11"/>
  <c r="AA9" i="12" l="1"/>
  <c r="Y13" i="12"/>
  <c r="AA10" i="12"/>
  <c r="AB8" i="12"/>
  <c r="Z13" i="12"/>
  <c r="AD16" i="12"/>
  <c r="AC7" i="12"/>
  <c r="AC9" i="11"/>
  <c r="AC10" i="11" s="1"/>
  <c r="AB10" i="11"/>
  <c r="AB11" i="11"/>
  <c r="AA12" i="11"/>
  <c r="AJ34" i="11"/>
  <c r="AJ13" i="11" s="1"/>
  <c r="AJ14" i="11" s="1"/>
  <c r="AH33" i="11"/>
  <c r="AH13" i="11" s="1"/>
  <c r="AH14" i="11" s="1"/>
  <c r="AC11" i="11"/>
  <c r="AC12" i="11" s="1"/>
  <c r="AB9" i="12" l="1"/>
  <c r="AB10" i="12"/>
  <c r="AB12" i="12" s="1"/>
  <c r="AB11" i="12"/>
  <c r="AA12" i="12"/>
  <c r="AC8" i="12"/>
  <c r="AE16" i="12"/>
  <c r="AD7" i="12"/>
  <c r="AB12" i="11"/>
  <c r="AA13" i="12" l="1"/>
  <c r="AC9" i="12"/>
  <c r="AC10" i="12"/>
  <c r="AC11" i="12"/>
  <c r="AD8" i="12"/>
  <c r="AB13" i="12"/>
  <c r="AF16" i="12"/>
  <c r="AE7" i="12"/>
  <c r="AC12" i="12" l="1"/>
  <c r="AE8" i="12"/>
  <c r="AE9" i="12" s="1"/>
  <c r="AD9" i="12"/>
  <c r="AD10" i="12"/>
  <c r="AD11" i="12"/>
  <c r="AC13" i="12"/>
  <c r="AG16" i="12"/>
  <c r="AF7" i="12"/>
  <c r="D3" i="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E10" i="12" l="1"/>
  <c r="AE11" i="12"/>
  <c r="AF8" i="12"/>
  <c r="AD12" i="12"/>
  <c r="AH16" i="12"/>
  <c r="AG7" i="12"/>
  <c r="AE12" i="12" l="1"/>
  <c r="AF9" i="12"/>
  <c r="AG8" i="12"/>
  <c r="AG11" i="12" s="1"/>
  <c r="AF11" i="12"/>
  <c r="AF10" i="12"/>
  <c r="AD13" i="12"/>
  <c r="AE13" i="12"/>
  <c r="AH7" i="12"/>
  <c r="AI16" i="12"/>
  <c r="AG10" i="12" l="1"/>
  <c r="AF12" i="12"/>
  <c r="AF13" i="12" s="1"/>
  <c r="AH8" i="12"/>
  <c r="AG9" i="12"/>
  <c r="AJ16" i="12"/>
  <c r="AI7" i="12"/>
  <c r="AH10" i="12" l="1"/>
  <c r="AH11" i="12"/>
  <c r="AH9" i="12"/>
  <c r="AG12" i="12"/>
  <c r="AI8" i="12"/>
  <c r="AJ7" i="12"/>
  <c r="AK16" i="12"/>
  <c r="AG13" i="12" l="1"/>
  <c r="AH12" i="12"/>
  <c r="AJ8" i="12"/>
  <c r="AI9" i="12"/>
  <c r="AI10" i="12"/>
  <c r="AI11" i="12"/>
  <c r="AK7" i="12"/>
  <c r="AL16" i="12"/>
  <c r="AL7" i="12" s="1"/>
  <c r="AH13" i="12" l="1"/>
  <c r="AJ11" i="12"/>
  <c r="AK8" i="12"/>
  <c r="AK11" i="12" s="1"/>
  <c r="AJ9" i="12"/>
  <c r="AI12" i="12"/>
  <c r="AL8" i="12"/>
  <c r="AJ10" i="12"/>
  <c r="AK10" i="12" l="1"/>
  <c r="AK9" i="12"/>
  <c r="AL10" i="12"/>
  <c r="AL9" i="12"/>
  <c r="AL11" i="12"/>
  <c r="AI13" i="12"/>
  <c r="AJ12" i="12"/>
  <c r="AK12" i="12" l="1"/>
  <c r="AK13" i="12" s="1"/>
  <c r="AL12" i="12"/>
  <c r="AJ13" i="12"/>
  <c r="AL13" i="12"/>
  <c r="C14" i="14" l="1"/>
  <c r="C32" i="14" s="1"/>
  <c r="C99" i="14" s="1"/>
  <c r="F14" i="14"/>
  <c r="F32" i="14" s="1"/>
  <c r="O14" i="14"/>
  <c r="O32" i="14" s="1"/>
  <c r="O99" i="14" s="1"/>
  <c r="N31" i="1" s="1"/>
  <c r="M14" i="14"/>
  <c r="M32" i="14" s="1"/>
  <c r="S14" i="14"/>
  <c r="S32" i="14" s="1"/>
  <c r="K14" i="14"/>
  <c r="K32" i="14" s="1"/>
  <c r="T14" i="14"/>
  <c r="T32" i="14" s="1"/>
  <c r="G14" i="14"/>
  <c r="G32" i="14" s="1"/>
  <c r="P14" i="14"/>
  <c r="P32" i="14" s="1"/>
  <c r="H14" i="14"/>
  <c r="H32" i="14" s="1"/>
  <c r="L14" i="14"/>
  <c r="L32" i="14" s="1"/>
  <c r="D14" i="14"/>
  <c r="D32" i="14"/>
  <c r="W14" i="14"/>
  <c r="W32" i="14" s="1"/>
  <c r="E14" i="14"/>
  <c r="E32" i="14" s="1"/>
  <c r="R14" i="14"/>
  <c r="R32" i="14" s="1"/>
  <c r="U14" i="14"/>
  <c r="U32" i="14" s="1"/>
  <c r="Z14" i="14"/>
  <c r="Z32" i="14" s="1"/>
  <c r="V14" i="14"/>
  <c r="V32" i="14" s="1"/>
  <c r="I14" i="14"/>
  <c r="I32" i="14" s="1"/>
  <c r="Y14" i="14"/>
  <c r="Y32" i="14" s="1"/>
  <c r="J14" i="14"/>
  <c r="J32" i="14" s="1"/>
  <c r="Q14" i="14"/>
  <c r="Q32" i="14" s="1"/>
  <c r="N14" i="14"/>
  <c r="N32" i="14" s="1"/>
  <c r="N99" i="14" s="1"/>
  <c r="M31" i="1" s="1"/>
  <c r="X14" i="14"/>
  <c r="X32" i="14" s="1"/>
  <c r="C107" i="14" l="1"/>
  <c r="B39" i="1" s="1"/>
  <c r="B31" i="1"/>
  <c r="O100" i="14"/>
  <c r="N32" i="1" s="1"/>
  <c r="O107" i="14"/>
  <c r="N39" i="1" s="1"/>
  <c r="N100" i="14"/>
  <c r="M32" i="1" s="1"/>
  <c r="N107" i="14"/>
  <c r="M39" i="1" s="1"/>
  <c r="I33" i="14"/>
  <c r="I34" i="14" s="1"/>
  <c r="I35" i="14" s="1"/>
  <c r="I36" i="14" s="1"/>
  <c r="I37" i="14" s="1"/>
  <c r="I99" i="14"/>
  <c r="H31" i="1" s="1"/>
  <c r="G33" i="14"/>
  <c r="G34" i="14" s="1"/>
  <c r="G35" i="14" s="1"/>
  <c r="G36" i="14" s="1"/>
  <c r="G37" i="14" s="1"/>
  <c r="G99" i="14"/>
  <c r="F31" i="1" s="1"/>
  <c r="V33" i="14"/>
  <c r="V34" i="14" s="1"/>
  <c r="V35" i="14" s="1"/>
  <c r="V36" i="14" s="1"/>
  <c r="V37" i="14" s="1"/>
  <c r="V99" i="14"/>
  <c r="U31" i="1" s="1"/>
  <c r="T33" i="14"/>
  <c r="T34" i="14" s="1"/>
  <c r="T35" i="14" s="1"/>
  <c r="T36" i="14" s="1"/>
  <c r="T37" i="14" s="1"/>
  <c r="T99" i="14"/>
  <c r="S31" i="1" s="1"/>
  <c r="S33" i="14"/>
  <c r="S34" i="14" s="1"/>
  <c r="S35" i="14" s="1"/>
  <c r="S36" i="14" s="1"/>
  <c r="S37" i="14" s="1"/>
  <c r="S99" i="14"/>
  <c r="R31" i="1" s="1"/>
  <c r="Z33" i="14"/>
  <c r="Z34" i="14" s="1"/>
  <c r="Z35" i="14" s="1"/>
  <c r="Z36" i="14" s="1"/>
  <c r="Z37" i="14" s="1"/>
  <c r="Z99" i="14"/>
  <c r="Y31" i="1" s="1"/>
  <c r="K33" i="14"/>
  <c r="K34" i="14" s="1"/>
  <c r="K35" i="14" s="1"/>
  <c r="K36" i="14" s="1"/>
  <c r="K37" i="14" s="1"/>
  <c r="K99" i="14"/>
  <c r="J31" i="1" s="1"/>
  <c r="M33" i="14"/>
  <c r="M34" i="14" s="1"/>
  <c r="M35" i="14" s="1"/>
  <c r="M36" i="14" s="1"/>
  <c r="M37" i="14" s="1"/>
  <c r="M99" i="14"/>
  <c r="L31" i="1" s="1"/>
  <c r="P33" i="14"/>
  <c r="P34" i="14" s="1"/>
  <c r="P35" i="14" s="1"/>
  <c r="P36" i="14" s="1"/>
  <c r="P37" i="14" s="1"/>
  <c r="P99" i="14"/>
  <c r="O31" i="1" s="1"/>
  <c r="R33" i="14"/>
  <c r="R34" i="14" s="1"/>
  <c r="R35" i="14" s="1"/>
  <c r="R36" i="14" s="1"/>
  <c r="R37" i="14" s="1"/>
  <c r="R99" i="14"/>
  <c r="Q31" i="1" s="1"/>
  <c r="L33" i="14"/>
  <c r="L34" i="14" s="1"/>
  <c r="L35" i="14" s="1"/>
  <c r="L36" i="14" s="1"/>
  <c r="L37" i="14" s="1"/>
  <c r="L99" i="14"/>
  <c r="K31" i="1" s="1"/>
  <c r="G17" i="14"/>
  <c r="E33" i="14"/>
  <c r="E34" i="14" s="1"/>
  <c r="E35" i="14" s="1"/>
  <c r="E36" i="14" s="1"/>
  <c r="E37" i="14" s="1"/>
  <c r="E99" i="14"/>
  <c r="D31" i="1" s="1"/>
  <c r="X33" i="14"/>
  <c r="X34" i="14" s="1"/>
  <c r="X35" i="14" s="1"/>
  <c r="X36" i="14" s="1"/>
  <c r="X37" i="14" s="1"/>
  <c r="X99" i="14"/>
  <c r="W31" i="1" s="1"/>
  <c r="Q33" i="14"/>
  <c r="Q34" i="14" s="1"/>
  <c r="Q35" i="14" s="1"/>
  <c r="Q36" i="14" s="1"/>
  <c r="Q37" i="14" s="1"/>
  <c r="Q99" i="14"/>
  <c r="P31" i="1" s="1"/>
  <c r="F33" i="14"/>
  <c r="F34" i="14" s="1"/>
  <c r="F35" i="14" s="1"/>
  <c r="F36" i="14" s="1"/>
  <c r="F37" i="14" s="1"/>
  <c r="F99" i="14"/>
  <c r="E31" i="1" s="1"/>
  <c r="U33" i="14"/>
  <c r="U34" i="14" s="1"/>
  <c r="U35" i="14" s="1"/>
  <c r="U36" i="14" s="1"/>
  <c r="U37" i="14" s="1"/>
  <c r="U99" i="14"/>
  <c r="T31" i="1" s="1"/>
  <c r="W33" i="14"/>
  <c r="W34" i="14" s="1"/>
  <c r="W35" i="14" s="1"/>
  <c r="W36" i="14" s="1"/>
  <c r="W37" i="14" s="1"/>
  <c r="W99" i="14"/>
  <c r="V31" i="1" s="1"/>
  <c r="D33" i="14"/>
  <c r="D34" i="14" s="1"/>
  <c r="D35" i="14" s="1"/>
  <c r="D36" i="14" s="1"/>
  <c r="D37" i="14" s="1"/>
  <c r="D99" i="14"/>
  <c r="C31" i="1" s="1"/>
  <c r="J33" i="14"/>
  <c r="J34" i="14" s="1"/>
  <c r="J35" i="14" s="1"/>
  <c r="J36" i="14" s="1"/>
  <c r="J37" i="14" s="1"/>
  <c r="J99" i="14"/>
  <c r="I31" i="1" s="1"/>
  <c r="Y33" i="14"/>
  <c r="Y34" i="14" s="1"/>
  <c r="Y35" i="14" s="1"/>
  <c r="Y36" i="14" s="1"/>
  <c r="Y37" i="14" s="1"/>
  <c r="Y99" i="14"/>
  <c r="X31" i="1" s="1"/>
  <c r="H33" i="14"/>
  <c r="H34" i="14" s="1"/>
  <c r="H35" i="14" s="1"/>
  <c r="H36" i="14" s="1"/>
  <c r="H37" i="14" s="1"/>
  <c r="H99" i="14"/>
  <c r="G31" i="1" s="1"/>
  <c r="C100" i="14"/>
  <c r="B32" i="1" s="1"/>
  <c r="O33" i="14"/>
  <c r="O34" i="14" s="1"/>
  <c r="O35" i="14" s="1"/>
  <c r="O36" i="14" s="1"/>
  <c r="O37" i="14" s="1"/>
  <c r="O17" i="14"/>
  <c r="C33" i="14"/>
  <c r="C34" i="14" s="1"/>
  <c r="C35" i="14" s="1"/>
  <c r="C36" i="14" s="1"/>
  <c r="C37" i="14" s="1"/>
  <c r="C38" i="14" s="1"/>
  <c r="C17" i="14"/>
  <c r="C46" i="14" s="1"/>
  <c r="N33" i="14"/>
  <c r="N34" i="14" s="1"/>
  <c r="N35" i="14" s="1"/>
  <c r="N36" i="14" s="1"/>
  <c r="N37" i="14" s="1"/>
  <c r="N17" i="14"/>
  <c r="P17" i="14"/>
  <c r="L17" i="14"/>
  <c r="M17" i="14"/>
  <c r="J17" i="14"/>
  <c r="W17" i="14"/>
  <c r="Y17" i="14"/>
  <c r="Z17" i="14"/>
  <c r="I17" i="14"/>
  <c r="V17" i="14"/>
  <c r="X17" i="14"/>
  <c r="F17" i="14"/>
  <c r="R17" i="14"/>
  <c r="H17" i="14"/>
  <c r="D17" i="14"/>
  <c r="K17" i="14"/>
  <c r="S17" i="14"/>
  <c r="Q17" i="14"/>
  <c r="U17" i="14"/>
  <c r="T17" i="14"/>
  <c r="E17" i="14"/>
  <c r="C104" i="14" l="1"/>
  <c r="B36" i="1" s="1"/>
  <c r="C106" i="14"/>
  <c r="B38" i="1" s="1"/>
  <c r="C105" i="14"/>
  <c r="B37" i="1" s="1"/>
  <c r="V100" i="14"/>
  <c r="U32" i="1" s="1"/>
  <c r="V107" i="14"/>
  <c r="U39" i="1" s="1"/>
  <c r="I100" i="14"/>
  <c r="H32" i="1" s="1"/>
  <c r="I107" i="14"/>
  <c r="H39" i="1" s="1"/>
  <c r="C113" i="14"/>
  <c r="C109" i="14"/>
  <c r="B41" i="1" s="1"/>
  <c r="Y100" i="14"/>
  <c r="X32" i="1" s="1"/>
  <c r="Y107" i="14"/>
  <c r="X39" i="1" s="1"/>
  <c r="Q100" i="14"/>
  <c r="P32" i="1" s="1"/>
  <c r="Q107" i="14"/>
  <c r="P39" i="1" s="1"/>
  <c r="M100" i="14"/>
  <c r="L32" i="1" s="1"/>
  <c r="M107" i="14"/>
  <c r="L39" i="1" s="1"/>
  <c r="D100" i="14"/>
  <c r="C32" i="1" s="1"/>
  <c r="D107" i="14"/>
  <c r="C39" i="1" s="1"/>
  <c r="Z100" i="14"/>
  <c r="Y32" i="1" s="1"/>
  <c r="Z107" i="14"/>
  <c r="Y39" i="1" s="1"/>
  <c r="N104" i="14"/>
  <c r="M36" i="1" s="1"/>
  <c r="N106" i="14"/>
  <c r="W100" i="14"/>
  <c r="V32" i="1" s="1"/>
  <c r="W107" i="14"/>
  <c r="V39" i="1" s="1"/>
  <c r="L100" i="14"/>
  <c r="K32" i="1" s="1"/>
  <c r="L107" i="14"/>
  <c r="K39" i="1" s="1"/>
  <c r="K100" i="14"/>
  <c r="J32" i="1" s="1"/>
  <c r="K107" i="14"/>
  <c r="J39" i="1" s="1"/>
  <c r="S100" i="14"/>
  <c r="R32" i="1" s="1"/>
  <c r="S107" i="14"/>
  <c r="R39" i="1" s="1"/>
  <c r="R100" i="14"/>
  <c r="Q32" i="1" s="1"/>
  <c r="R107" i="14"/>
  <c r="Q39" i="1" s="1"/>
  <c r="T100" i="14"/>
  <c r="S32" i="1" s="1"/>
  <c r="T107" i="14"/>
  <c r="S39" i="1" s="1"/>
  <c r="O106" i="14"/>
  <c r="O104" i="14"/>
  <c r="N36" i="1" s="1"/>
  <c r="P100" i="14"/>
  <c r="O32" i="1" s="1"/>
  <c r="P107" i="14"/>
  <c r="O39" i="1" s="1"/>
  <c r="G100" i="14"/>
  <c r="F32" i="1" s="1"/>
  <c r="G107" i="14"/>
  <c r="F39" i="1" s="1"/>
  <c r="J100" i="14"/>
  <c r="I32" i="1" s="1"/>
  <c r="J107" i="14"/>
  <c r="I39" i="1" s="1"/>
  <c r="X100" i="14"/>
  <c r="W32" i="1" s="1"/>
  <c r="X107" i="14"/>
  <c r="W39" i="1" s="1"/>
  <c r="E100" i="14"/>
  <c r="D32" i="1" s="1"/>
  <c r="E107" i="14"/>
  <c r="D39" i="1" s="1"/>
  <c r="U100" i="14"/>
  <c r="T32" i="1" s="1"/>
  <c r="U107" i="14"/>
  <c r="T39" i="1" s="1"/>
  <c r="H100" i="14"/>
  <c r="G32" i="1" s="1"/>
  <c r="H107" i="14"/>
  <c r="G39" i="1" s="1"/>
  <c r="F100" i="14"/>
  <c r="E32" i="1" s="1"/>
  <c r="F107" i="14"/>
  <c r="E39" i="1" s="1"/>
  <c r="D28" i="14"/>
  <c r="D40" i="14" s="1"/>
  <c r="C114" i="14"/>
  <c r="C40" i="14"/>
  <c r="C52" i="14" s="1"/>
  <c r="C112" i="14" l="1"/>
  <c r="B44" i="1" s="1"/>
  <c r="B45" i="1"/>
  <c r="O105" i="14"/>
  <c r="N37" i="1" s="1"/>
  <c r="N38" i="1"/>
  <c r="N105" i="14"/>
  <c r="M37" i="1" s="1"/>
  <c r="M38" i="1"/>
  <c r="M106" i="14"/>
  <c r="M104" i="14"/>
  <c r="L36" i="1" s="1"/>
  <c r="Q104" i="14"/>
  <c r="P36" i="1" s="1"/>
  <c r="Q106" i="14"/>
  <c r="K106" i="14"/>
  <c r="K104" i="14"/>
  <c r="J36" i="1" s="1"/>
  <c r="L106" i="14"/>
  <c r="L104" i="14"/>
  <c r="K36" i="1" s="1"/>
  <c r="H106" i="14"/>
  <c r="H104" i="14"/>
  <c r="G36" i="1" s="1"/>
  <c r="Y106" i="14"/>
  <c r="Y104" i="14"/>
  <c r="X36" i="1" s="1"/>
  <c r="G104" i="14"/>
  <c r="F36" i="1" s="1"/>
  <c r="G106" i="14"/>
  <c r="P104" i="14"/>
  <c r="O36" i="1" s="1"/>
  <c r="P106" i="14"/>
  <c r="O113" i="14"/>
  <c r="O109" i="14"/>
  <c r="N41" i="1" s="1"/>
  <c r="C111" i="14"/>
  <c r="B43" i="1" s="1"/>
  <c r="C108" i="14"/>
  <c r="B40" i="1" s="1"/>
  <c r="R104" i="14"/>
  <c r="Q36" i="1" s="1"/>
  <c r="R106" i="14"/>
  <c r="I104" i="14"/>
  <c r="H36" i="1" s="1"/>
  <c r="I106" i="14"/>
  <c r="S104" i="14"/>
  <c r="R36" i="1" s="1"/>
  <c r="S106" i="14"/>
  <c r="V104" i="14"/>
  <c r="U36" i="1" s="1"/>
  <c r="V106" i="14"/>
  <c r="F106" i="14"/>
  <c r="F104" i="14"/>
  <c r="E36" i="1" s="1"/>
  <c r="U104" i="14"/>
  <c r="T36" i="1" s="1"/>
  <c r="U106" i="14"/>
  <c r="W106" i="14"/>
  <c r="W104" i="14"/>
  <c r="V36" i="1" s="1"/>
  <c r="E104" i="14"/>
  <c r="D36" i="1" s="1"/>
  <c r="E106" i="14"/>
  <c r="T104" i="14"/>
  <c r="S36" i="1" s="1"/>
  <c r="T106" i="14"/>
  <c r="N113" i="14"/>
  <c r="N109" i="14"/>
  <c r="M41" i="1" s="1"/>
  <c r="X106" i="14"/>
  <c r="X104" i="14"/>
  <c r="W36" i="1" s="1"/>
  <c r="Z104" i="14"/>
  <c r="Y36" i="1" s="1"/>
  <c r="Z106" i="14"/>
  <c r="J104" i="14"/>
  <c r="I36" i="1" s="1"/>
  <c r="J106" i="14"/>
  <c r="D106" i="14"/>
  <c r="D104" i="14"/>
  <c r="C36" i="1" s="1"/>
  <c r="D38" i="14"/>
  <c r="E28" i="14" s="1"/>
  <c r="D72" i="14"/>
  <c r="C4" i="1" s="1"/>
  <c r="E40" i="14"/>
  <c r="K105" i="14" l="1"/>
  <c r="J37" i="1" s="1"/>
  <c r="J38" i="1"/>
  <c r="V105" i="14"/>
  <c r="U37" i="1" s="1"/>
  <c r="U38" i="1"/>
  <c r="S105" i="14"/>
  <c r="R37" i="1" s="1"/>
  <c r="R38" i="1"/>
  <c r="E105" i="14"/>
  <c r="D37" i="1" s="1"/>
  <c r="D38" i="1"/>
  <c r="N112" i="14"/>
  <c r="M44" i="1" s="1"/>
  <c r="M45" i="1"/>
  <c r="G105" i="14"/>
  <c r="F37" i="1" s="1"/>
  <c r="F38" i="1"/>
  <c r="F105" i="14"/>
  <c r="E37" i="1" s="1"/>
  <c r="E38" i="1"/>
  <c r="Q105" i="14"/>
  <c r="P37" i="1" s="1"/>
  <c r="P38" i="1"/>
  <c r="T105" i="14"/>
  <c r="S37" i="1" s="1"/>
  <c r="S38" i="1"/>
  <c r="Y105" i="14"/>
  <c r="X37" i="1" s="1"/>
  <c r="X38" i="1"/>
  <c r="J105" i="14"/>
  <c r="I37" i="1" s="1"/>
  <c r="I38" i="1"/>
  <c r="R105" i="14"/>
  <c r="Q37" i="1" s="1"/>
  <c r="Q38" i="1"/>
  <c r="X105" i="14"/>
  <c r="W37" i="1" s="1"/>
  <c r="W38" i="1"/>
  <c r="O112" i="14"/>
  <c r="N44" i="1" s="1"/>
  <c r="N45" i="1"/>
  <c r="P105" i="14"/>
  <c r="O37" i="1" s="1"/>
  <c r="O38" i="1"/>
  <c r="M105" i="14"/>
  <c r="L37" i="1" s="1"/>
  <c r="L38" i="1"/>
  <c r="I105" i="14"/>
  <c r="H37" i="1" s="1"/>
  <c r="H38" i="1"/>
  <c r="D105" i="14"/>
  <c r="C37" i="1" s="1"/>
  <c r="C38" i="1"/>
  <c r="W105" i="14"/>
  <c r="V37" i="1" s="1"/>
  <c r="V38" i="1"/>
  <c r="H105" i="14"/>
  <c r="G37" i="1" s="1"/>
  <c r="G38" i="1"/>
  <c r="Z105" i="14"/>
  <c r="Y37" i="1" s="1"/>
  <c r="Y38" i="1"/>
  <c r="U105" i="14"/>
  <c r="T37" i="1" s="1"/>
  <c r="T38" i="1"/>
  <c r="L105" i="14"/>
  <c r="K37" i="1" s="1"/>
  <c r="K38" i="1"/>
  <c r="Y109" i="14"/>
  <c r="X41" i="1" s="1"/>
  <c r="Y113" i="14"/>
  <c r="L113" i="14"/>
  <c r="L109" i="14"/>
  <c r="K41" i="1" s="1"/>
  <c r="I109" i="14"/>
  <c r="H41" i="1" s="1"/>
  <c r="I113" i="14"/>
  <c r="U113" i="14"/>
  <c r="U109" i="14"/>
  <c r="T41" i="1" s="1"/>
  <c r="F113" i="14"/>
  <c r="F109" i="14"/>
  <c r="E41" i="1" s="1"/>
  <c r="D109" i="14"/>
  <c r="C41" i="1" s="1"/>
  <c r="D113" i="14"/>
  <c r="H113" i="14"/>
  <c r="H109" i="14"/>
  <c r="G41" i="1" s="1"/>
  <c r="J113" i="14"/>
  <c r="J109" i="14"/>
  <c r="I41" i="1" s="1"/>
  <c r="X109" i="14"/>
  <c r="W41" i="1" s="1"/>
  <c r="X113" i="14"/>
  <c r="N108" i="14"/>
  <c r="M40" i="1" s="1"/>
  <c r="N111" i="14"/>
  <c r="M43" i="1" s="1"/>
  <c r="Q113" i="14"/>
  <c r="Q109" i="14"/>
  <c r="P41" i="1" s="1"/>
  <c r="E109" i="14"/>
  <c r="D41" i="1" s="1"/>
  <c r="E113" i="14"/>
  <c r="W109" i="14"/>
  <c r="V41" i="1" s="1"/>
  <c r="W113" i="14"/>
  <c r="R113" i="14"/>
  <c r="R109" i="14"/>
  <c r="Q41" i="1" s="1"/>
  <c r="K113" i="14"/>
  <c r="K109" i="14"/>
  <c r="J41" i="1" s="1"/>
  <c r="V109" i="14"/>
  <c r="U41" i="1" s="1"/>
  <c r="V113" i="14"/>
  <c r="M109" i="14"/>
  <c r="L41" i="1" s="1"/>
  <c r="M113" i="14"/>
  <c r="Z109" i="14"/>
  <c r="Y41" i="1" s="1"/>
  <c r="Z113" i="14"/>
  <c r="O111" i="14"/>
  <c r="N43" i="1" s="1"/>
  <c r="O108" i="14"/>
  <c r="N40" i="1" s="1"/>
  <c r="P113" i="14"/>
  <c r="P109" i="14"/>
  <c r="O41" i="1" s="1"/>
  <c r="E38" i="14"/>
  <c r="F28" i="14" s="1"/>
  <c r="E72" i="14"/>
  <c r="D4" i="1" s="1"/>
  <c r="T113" i="14"/>
  <c r="T109" i="14"/>
  <c r="S41" i="1" s="1"/>
  <c r="S109" i="14"/>
  <c r="R41" i="1" s="1"/>
  <c r="S113" i="14"/>
  <c r="G113" i="14"/>
  <c r="G109" i="14"/>
  <c r="F41" i="1" s="1"/>
  <c r="H112" i="14" l="1"/>
  <c r="G44" i="1" s="1"/>
  <c r="G45" i="1"/>
  <c r="E112" i="14"/>
  <c r="D44" i="1" s="1"/>
  <c r="D45" i="1"/>
  <c r="F112" i="14"/>
  <c r="E44" i="1" s="1"/>
  <c r="E45" i="1"/>
  <c r="Z112" i="14"/>
  <c r="Y44" i="1" s="1"/>
  <c r="Y45" i="1"/>
  <c r="G112" i="14"/>
  <c r="F44" i="1" s="1"/>
  <c r="F45" i="1"/>
  <c r="Q112" i="14"/>
  <c r="P44" i="1" s="1"/>
  <c r="P45" i="1"/>
  <c r="U112" i="14"/>
  <c r="T44" i="1" s="1"/>
  <c r="T45" i="1"/>
  <c r="I112" i="14"/>
  <c r="H44" i="1" s="1"/>
  <c r="H45" i="1"/>
  <c r="Y112" i="14"/>
  <c r="X44" i="1" s="1"/>
  <c r="X45" i="1"/>
  <c r="S112" i="14"/>
  <c r="R44" i="1" s="1"/>
  <c r="R45" i="1"/>
  <c r="W112" i="14"/>
  <c r="V44" i="1" s="1"/>
  <c r="V45" i="1"/>
  <c r="D112" i="14"/>
  <c r="C44" i="1" s="1"/>
  <c r="C45" i="1"/>
  <c r="M112" i="14"/>
  <c r="L44" i="1" s="1"/>
  <c r="L45" i="1"/>
  <c r="X112" i="14"/>
  <c r="W44" i="1" s="1"/>
  <c r="W45" i="1"/>
  <c r="K112" i="14"/>
  <c r="J44" i="1" s="1"/>
  <c r="J45" i="1"/>
  <c r="V112" i="14"/>
  <c r="U44" i="1" s="1"/>
  <c r="U45" i="1"/>
  <c r="T112" i="14"/>
  <c r="S44" i="1" s="1"/>
  <c r="S45" i="1"/>
  <c r="P112" i="14"/>
  <c r="O44" i="1" s="1"/>
  <c r="O45" i="1"/>
  <c r="R112" i="14"/>
  <c r="Q44" i="1" s="1"/>
  <c r="Q45" i="1"/>
  <c r="J112" i="14"/>
  <c r="I44" i="1" s="1"/>
  <c r="I45" i="1"/>
  <c r="L112" i="14"/>
  <c r="K44" i="1" s="1"/>
  <c r="K45" i="1"/>
  <c r="S111" i="14"/>
  <c r="R43" i="1" s="1"/>
  <c r="S108" i="14"/>
  <c r="R40" i="1" s="1"/>
  <c r="I108" i="14"/>
  <c r="H40" i="1" s="1"/>
  <c r="I111" i="14"/>
  <c r="H43" i="1" s="1"/>
  <c r="G111" i="14"/>
  <c r="F43" i="1" s="1"/>
  <c r="G108" i="14"/>
  <c r="F40" i="1" s="1"/>
  <c r="E111" i="14"/>
  <c r="D43" i="1" s="1"/>
  <c r="E108" i="14"/>
  <c r="D40" i="1" s="1"/>
  <c r="Q108" i="14"/>
  <c r="P40" i="1" s="1"/>
  <c r="Q111" i="14"/>
  <c r="P43" i="1" s="1"/>
  <c r="T111" i="14"/>
  <c r="S43" i="1" s="1"/>
  <c r="T108" i="14"/>
  <c r="S40" i="1" s="1"/>
  <c r="J108" i="14"/>
  <c r="I40" i="1" s="1"/>
  <c r="J111" i="14"/>
  <c r="I43" i="1" s="1"/>
  <c r="F38" i="14"/>
  <c r="G28" i="14" s="1"/>
  <c r="F72" i="14"/>
  <c r="E4" i="1" s="1"/>
  <c r="F40" i="14"/>
  <c r="Z111" i="14"/>
  <c r="Y43" i="1" s="1"/>
  <c r="Z108" i="14"/>
  <c r="Y40" i="1" s="1"/>
  <c r="M108" i="14"/>
  <c r="L40" i="1" s="1"/>
  <c r="M111" i="14"/>
  <c r="L43" i="1" s="1"/>
  <c r="U111" i="14"/>
  <c r="T43" i="1" s="1"/>
  <c r="U108" i="14"/>
  <c r="T40" i="1" s="1"/>
  <c r="V111" i="14"/>
  <c r="U43" i="1" s="1"/>
  <c r="V108" i="14"/>
  <c r="U40" i="1" s="1"/>
  <c r="K111" i="14"/>
  <c r="J43" i="1" s="1"/>
  <c r="K108" i="14"/>
  <c r="J40" i="1" s="1"/>
  <c r="X111" i="14"/>
  <c r="W43" i="1" s="1"/>
  <c r="X108" i="14"/>
  <c r="W40" i="1" s="1"/>
  <c r="L111" i="14"/>
  <c r="K43" i="1" s="1"/>
  <c r="L108" i="14"/>
  <c r="K40" i="1" s="1"/>
  <c r="D108" i="14"/>
  <c r="C40" i="1" s="1"/>
  <c r="D111" i="14"/>
  <c r="C43" i="1" s="1"/>
  <c r="F111" i="14"/>
  <c r="E43" i="1" s="1"/>
  <c r="F108" i="14"/>
  <c r="E40" i="1" s="1"/>
  <c r="P111" i="14"/>
  <c r="O43" i="1" s="1"/>
  <c r="P108" i="14"/>
  <c r="O40" i="1" s="1"/>
  <c r="R111" i="14"/>
  <c r="Q43" i="1" s="1"/>
  <c r="R108" i="14"/>
  <c r="Q40" i="1" s="1"/>
  <c r="H108" i="14"/>
  <c r="G40" i="1" s="1"/>
  <c r="H111" i="14"/>
  <c r="G43" i="1" s="1"/>
  <c r="W108" i="14"/>
  <c r="V40" i="1" s="1"/>
  <c r="W111" i="14"/>
  <c r="V43" i="1" s="1"/>
  <c r="Y108" i="14"/>
  <c r="X40" i="1" s="1"/>
  <c r="Y111" i="14"/>
  <c r="X43" i="1" s="1"/>
  <c r="G38" i="14" l="1"/>
  <c r="H28" i="14" s="1"/>
  <c r="G72" i="14"/>
  <c r="F4" i="1" s="1"/>
  <c r="G40" i="14"/>
  <c r="H38" i="14" l="1"/>
  <c r="I28" i="14" s="1"/>
  <c r="H72" i="14"/>
  <c r="G4" i="1" s="1"/>
  <c r="H40" i="14"/>
  <c r="I38" i="14" l="1"/>
  <c r="J28" i="14" s="1"/>
  <c r="I72" i="14"/>
  <c r="H4" i="1" s="1"/>
  <c r="I40" i="14"/>
  <c r="J38" i="14" l="1"/>
  <c r="K28" i="14" s="1"/>
  <c r="J72" i="14"/>
  <c r="I4" i="1" s="1"/>
  <c r="J40" i="14"/>
  <c r="K38" i="14" l="1"/>
  <c r="L28" i="14" s="1"/>
  <c r="K72" i="14"/>
  <c r="J4" i="1" s="1"/>
  <c r="K40" i="14"/>
  <c r="L38" i="14" l="1"/>
  <c r="M28" i="14" s="1"/>
  <c r="L72" i="14"/>
  <c r="K4" i="1" s="1"/>
  <c r="L40" i="14"/>
  <c r="M38" i="14" l="1"/>
  <c r="N28" i="14" s="1"/>
  <c r="M72" i="14"/>
  <c r="L4" i="1" s="1"/>
  <c r="M40" i="14"/>
  <c r="N38" i="14" l="1"/>
  <c r="O28" i="14" s="1"/>
  <c r="N72" i="14"/>
  <c r="M4" i="1" s="1"/>
  <c r="N40" i="14"/>
  <c r="O38" i="14" l="1"/>
  <c r="P28" i="14" s="1"/>
  <c r="O72" i="14"/>
  <c r="N4" i="1" s="1"/>
  <c r="O40" i="14"/>
  <c r="P38" i="14" l="1"/>
  <c r="Q28" i="14" s="1"/>
  <c r="P72" i="14"/>
  <c r="O4" i="1" s="1"/>
  <c r="P40" i="14"/>
  <c r="Q38" i="14" l="1"/>
  <c r="R28" i="14" s="1"/>
  <c r="Q72" i="14"/>
  <c r="P4" i="1" s="1"/>
  <c r="Q40" i="14"/>
  <c r="R38" i="14" l="1"/>
  <c r="S28" i="14" s="1"/>
  <c r="R72" i="14"/>
  <c r="Q4" i="1" s="1"/>
  <c r="R40" i="14"/>
  <c r="S38" i="14" l="1"/>
  <c r="T28" i="14" s="1"/>
  <c r="S72" i="14"/>
  <c r="R4" i="1" s="1"/>
  <c r="S40" i="14"/>
  <c r="T38" i="14" l="1"/>
  <c r="U28" i="14" s="1"/>
  <c r="T72" i="14"/>
  <c r="S4" i="1" s="1"/>
  <c r="T40" i="14"/>
  <c r="U38" i="14" l="1"/>
  <c r="V28" i="14" s="1"/>
  <c r="U72" i="14"/>
  <c r="T4" i="1" s="1"/>
  <c r="U40" i="14"/>
  <c r="V38" i="14" l="1"/>
  <c r="W28" i="14" s="1"/>
  <c r="V72" i="14"/>
  <c r="U4" i="1" s="1"/>
  <c r="V40" i="14"/>
  <c r="W38" i="14" l="1"/>
  <c r="X28" i="14" s="1"/>
  <c r="W72" i="14"/>
  <c r="V4" i="1" s="1"/>
  <c r="W40" i="14"/>
  <c r="X38" i="14" l="1"/>
  <c r="Y28" i="14" s="1"/>
  <c r="X72" i="14"/>
  <c r="W4" i="1" s="1"/>
  <c r="X40" i="14"/>
  <c r="Y38" i="14" l="1"/>
  <c r="Z28" i="14" s="1"/>
  <c r="Y72" i="14"/>
  <c r="X4" i="1" s="1"/>
  <c r="Y40" i="14"/>
  <c r="Z38" i="14" l="1"/>
  <c r="Z72" i="14"/>
  <c r="Y4" i="1" s="1"/>
  <c r="Z4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Princi</author>
  </authors>
  <commentList>
    <comment ref="B7" authorId="0" shapeId="0" xr:uid="{26CD6627-D3D5-C74F-AC5F-EDD7DAA34D1C}">
      <text>
        <r>
          <rPr>
            <b/>
            <sz val="9"/>
            <color rgb="FF000000"/>
            <rFont val="Tahoma"/>
            <family val="2"/>
          </rPr>
          <t>Mike Princi:</t>
        </r>
        <r>
          <rPr>
            <sz val="9"/>
            <color rgb="FF000000"/>
            <rFont val="Tahoma"/>
            <family val="2"/>
          </rPr>
          <t xml:space="preserve">
</t>
        </r>
        <r>
          <rPr>
            <sz val="9"/>
            <color rgb="FF000000"/>
            <rFont val="Tahoma"/>
            <family val="2"/>
          </rPr>
          <t>consider changing based on working days per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Princi</author>
    <author>Rick Colosimo</author>
  </authors>
  <commentList>
    <comment ref="B7" authorId="0" shapeId="0" xr:uid="{2B40FCE7-207B-E246-B731-8BA322C44C70}">
      <text>
        <r>
          <rPr>
            <b/>
            <sz val="9"/>
            <color rgb="FF000000"/>
            <rFont val="Tahoma"/>
            <family val="2"/>
          </rPr>
          <t>Mike Princi:</t>
        </r>
        <r>
          <rPr>
            <sz val="9"/>
            <color rgb="FF000000"/>
            <rFont val="Tahoma"/>
            <family val="2"/>
          </rPr>
          <t xml:space="preserve">
</t>
        </r>
        <r>
          <rPr>
            <sz val="9"/>
            <color rgb="FF000000"/>
            <rFont val="Tahoma"/>
            <family val="2"/>
          </rPr>
          <t>consider changing based on working days per month</t>
        </r>
      </text>
    </comment>
    <comment ref="D21" authorId="1" shapeId="0" xr:uid="{93C609B7-9F8D-6443-A925-B89F616B2047}">
      <text>
        <r>
          <rPr>
            <b/>
            <sz val="10"/>
            <color rgb="FF000000"/>
            <rFont val="Tahoma"/>
            <family val="2"/>
          </rPr>
          <t>Rick Colosimo:</t>
        </r>
        <r>
          <rPr>
            <sz val="10"/>
            <color rgb="FF000000"/>
            <rFont val="Tahoma"/>
            <family val="2"/>
          </rPr>
          <t xml:space="preserve">
</t>
        </r>
        <r>
          <rPr>
            <sz val="10"/>
            <color rgb="FF000000"/>
            <rFont val="Tahoma"/>
            <family val="2"/>
          </rPr>
          <t>Plan is for cash collateralized letter of credit, so this cash is restricted but not spent.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Colosimo</author>
  </authors>
  <commentList>
    <comment ref="A79" authorId="0" shapeId="0" xr:uid="{5ED6E85A-0A04-C449-8340-EDB29271BA45}">
      <text>
        <r>
          <rPr>
            <b/>
            <sz val="10"/>
            <color rgb="FF000000"/>
            <rFont val="Tahoma"/>
            <family val="2"/>
          </rPr>
          <t>Rick Colosimo:</t>
        </r>
        <r>
          <rPr>
            <sz val="10"/>
            <color rgb="FF000000"/>
            <rFont val="Tahoma"/>
            <family val="2"/>
          </rPr>
          <t xml:space="preserve">
</t>
        </r>
        <r>
          <rPr>
            <sz val="10"/>
            <color rgb="FF000000"/>
            <rFont val="Tahoma"/>
            <family val="2"/>
          </rPr>
          <t>Practicing on payroll</t>
        </r>
      </text>
    </comment>
    <comment ref="A97" authorId="0" shapeId="0" xr:uid="{8B0391AA-8158-3A41-80B6-1B00A4C889DA}">
      <text>
        <r>
          <rPr>
            <b/>
            <sz val="10"/>
            <color rgb="FF000000"/>
            <rFont val="Tahoma"/>
            <family val="2"/>
          </rPr>
          <t>Rick Colosimo:</t>
        </r>
        <r>
          <rPr>
            <sz val="10"/>
            <color rgb="FF000000"/>
            <rFont val="Tahoma"/>
            <family val="2"/>
          </rPr>
          <t xml:space="preserve">
</t>
        </r>
        <r>
          <rPr>
            <sz val="10"/>
            <color rgb="FF000000"/>
            <rFont val="Tahoma"/>
            <family val="2"/>
          </rPr>
          <t>actually working</t>
        </r>
      </text>
    </comment>
    <comment ref="A99" authorId="0" shapeId="0" xr:uid="{CDF83F60-2084-5747-8F18-A0F0BDC2F964}">
      <text>
        <r>
          <rPr>
            <b/>
            <sz val="10"/>
            <color rgb="FF000000"/>
            <rFont val="Tahoma"/>
            <family val="2"/>
          </rPr>
          <t>Rick Colosimo:</t>
        </r>
        <r>
          <rPr>
            <sz val="10"/>
            <color rgb="FF000000"/>
            <rFont val="Tahoma"/>
            <family val="2"/>
          </rPr>
          <t xml:space="preserve">
</t>
        </r>
        <r>
          <rPr>
            <sz val="10"/>
            <color rgb="FF000000"/>
            <rFont val="Tahoma"/>
            <family val="2"/>
          </rPr>
          <t xml:space="preserve">Start is derived from April 2020, not May
</t>
        </r>
      </text>
    </comment>
  </commentList>
</comments>
</file>

<file path=xl/sharedStrings.xml><?xml version="1.0" encoding="utf-8"?>
<sst xmlns="http://schemas.openxmlformats.org/spreadsheetml/2006/main" count="531" uniqueCount="279">
  <si>
    <t>Metrics</t>
  </si>
  <si>
    <t>Load</t>
  </si>
  <si>
    <t>Annual Gross</t>
  </si>
  <si>
    <t>Monthly total</t>
  </si>
  <si>
    <t>Number</t>
  </si>
  <si>
    <t>Front Desk - $4000 each/month</t>
  </si>
  <si>
    <t>Medical Assistants - $4000 each/month</t>
  </si>
  <si>
    <t>Sonographers - $6500 each/month</t>
  </si>
  <si>
    <t>Security Deposit</t>
  </si>
  <si>
    <t>Construction Costs</t>
  </si>
  <si>
    <t xml:space="preserve">Equipment </t>
  </si>
  <si>
    <t>CapEx - OBGYN</t>
  </si>
  <si>
    <t>Furnishings</t>
  </si>
  <si>
    <t>Locations - OBGYN</t>
  </si>
  <si>
    <t>Exam Rooms - OBGYN</t>
  </si>
  <si>
    <t>Quarterly Bonus</t>
  </si>
  <si>
    <t>OBGYN - $28000/month</t>
  </si>
  <si>
    <t>NP - $12500/month</t>
  </si>
  <si>
    <t>Anesthesiologist</t>
  </si>
  <si>
    <t>Deferred Comp end Year 1</t>
  </si>
  <si>
    <t>OpEx - OBGYN</t>
  </si>
  <si>
    <t>Prepayment of Rent</t>
  </si>
  <si>
    <t>Rent</t>
  </si>
  <si>
    <t>Utilities/Taxes</t>
  </si>
  <si>
    <t>CapEx - Office</t>
  </si>
  <si>
    <t>OpEx - OFFICE</t>
  </si>
  <si>
    <t>Rev</t>
  </si>
  <si>
    <t>75% 150 Collection</t>
  </si>
  <si>
    <t>20% 210 Collection</t>
  </si>
  <si>
    <t>Rev/Visit ($1250)</t>
  </si>
  <si>
    <t>95% 120</t>
  </si>
  <si>
    <t>Working Days</t>
  </si>
  <si>
    <t>Available hours/working day</t>
  </si>
  <si>
    <t>$ per procedure, IN</t>
  </si>
  <si>
    <t>$ per procedure, OON</t>
  </si>
  <si>
    <t>Percentage OON</t>
  </si>
  <si>
    <t>Anesthesia Revenue</t>
  </si>
  <si>
    <t>Advertising</t>
  </si>
  <si>
    <t>Manhattan OB/GYN</t>
  </si>
  <si>
    <t>Manhattan Fibroids</t>
  </si>
  <si>
    <t>10% 210 Collection</t>
  </si>
  <si>
    <t>60% 150 Collection</t>
  </si>
  <si>
    <t>OBGYN Procedure days (procedures/day)</t>
  </si>
  <si>
    <t>OBGYN Visits</t>
  </si>
  <si>
    <t>Fibroid Visits</t>
  </si>
  <si>
    <t>Revenue/UFE ($17000)</t>
  </si>
  <si>
    <t>IR surgical table ($15k)</t>
  </si>
  <si>
    <t>Other OR &amp; medical ($200k)</t>
  </si>
  <si>
    <t>Exam room tables (15 @ $7k)</t>
  </si>
  <si>
    <t>Sonograms (6 @ $30k)</t>
  </si>
  <si>
    <t>Branding</t>
  </si>
  <si>
    <t>3.2 VIVA EVE - Manhattan</t>
  </si>
  <si>
    <t>Cash Reserve</t>
  </si>
  <si>
    <t>Invested Cash</t>
  </si>
  <si>
    <t>Visits</t>
  </si>
  <si>
    <t>Net Revenue</t>
  </si>
  <si>
    <t>Gross Profit</t>
  </si>
  <si>
    <t>EBITDA</t>
  </si>
  <si>
    <t>Net Income</t>
  </si>
  <si>
    <t>Cash Flow From Operations</t>
  </si>
  <si>
    <t>Free Cash Flow</t>
  </si>
  <si>
    <t>Cash Balance</t>
  </si>
  <si>
    <t>Annual Gross ($520k; $2500/day)</t>
  </si>
  <si>
    <t>Insurance</t>
  </si>
  <si>
    <t>VIVA EVE OR days (4 procedures/day)</t>
  </si>
  <si>
    <t>ASSUMPTION NOTES</t>
  </si>
  <si>
    <t>Gross profit percentage is 95% of Net Revenue. This accounts for some outside services that should be counted as COGS and some AR that will eventually be uncollectible.</t>
  </si>
  <si>
    <t>Uncollectible AR is also accounted for in the CFO percentage number for baseline operations as well as the AR collections assumptions, such as in rows 26, 27, 31,38, 39, 45, &amp; 46.</t>
  </si>
  <si>
    <t xml:space="preserve">EBITDA is adjusted from the historical number for additional expenses in the modeling below the drivers. </t>
  </si>
  <si>
    <t>Free Cash Flow should be explicity REVISED in the future to account for mandatory tax distributions.</t>
  </si>
  <si>
    <t>EBITDA percentage is shown as 50% of Net Revenue to capture historical margins. This figure underestimates EBITDA because substantial expenses (executive salaries, HQ salaries) are not expected to go up with revenue. This should be (1) updated every quarter to reflect TTM(?) actuals or (2) calculated based on the integration of the comprehensive model.</t>
  </si>
  <si>
    <t>Net Income is shown as 90% of Net Income and is not adjusted by the same adjustments as EBITDA because those adjustments are incorporated in EBITDA.</t>
  </si>
  <si>
    <t xml:space="preserve">Cash Flow from Operations is calculated directly from cash collections for each revenue line item. (See rows </t>
  </si>
  <si>
    <t xml:space="preserve"> The cash collection estimates should be (1) updated every quarter to reflect TTM(?) actuals or (2) calculated based on the integration of the comprehensive model.</t>
  </si>
  <si>
    <t>Free Cash Flow is set at the same as CFO because no additional deductions are expected solely because of the transactions reflected here.</t>
  </si>
  <si>
    <t>EBITDA is the sum of the expenses reflected in the model. This should be (1) updated every quarter to reflect T3M(?) actuals or (2) calculated based on the integration of the comprehensive model.</t>
  </si>
  <si>
    <t>Net Income is the sum of the expenses reflected in the model. This should be (1) updated every quarter to reflect T3M(?) actuals or (2) calculated based on the integration of the comprehensive model.</t>
  </si>
  <si>
    <t>Cash Flow from Operations is the sum of the expenses reflected in the model. This should be (1) updated every quarter to reflect T3M(?) actuals or (2) calculated based on the integration of the comprehensive model.</t>
  </si>
  <si>
    <t>Free Cash Flow is the sum of the expenses reflected in the model as for cash flow from operations, plus any further expenses that are more properly classified as CapEx. This should be (1) updated every quarter to reflect T3M(?) actuals or (2) calculated based on the integration of the comprehensive model.</t>
  </si>
  <si>
    <t>Exam Rooms Available Hours</t>
  </si>
  <si>
    <t>Provider Available Hours</t>
  </si>
  <si>
    <t>Exam Room Available Hours</t>
  </si>
  <si>
    <t>VIVA EVE - Current + Manhattan</t>
  </si>
  <si>
    <t>FHMS Visits</t>
  </si>
  <si>
    <t>new marginal visits</t>
  </si>
  <si>
    <t>VIVA EVE</t>
  </si>
  <si>
    <t>Add'l UFE @ $17000</t>
  </si>
  <si>
    <t>MIGS procedures</t>
  </si>
  <si>
    <t>Rev/Procedure</t>
  </si>
  <si>
    <t>Revenue</t>
  </si>
  <si>
    <t>Providers</t>
  </si>
  <si>
    <t>OBGYN (2 @ 5.92 hours/day)</t>
  </si>
  <si>
    <t>NP (6.05/day)</t>
  </si>
  <si>
    <t>IR (3@28/month)</t>
  </si>
  <si>
    <t>Gohar (3.33/day)</t>
  </si>
  <si>
    <t>MIGS (5.92/day)</t>
  </si>
  <si>
    <t>New NP (6.05/day)</t>
  </si>
  <si>
    <t>Non-practicing IR</t>
  </si>
  <si>
    <t>Non-practicing NP</t>
  </si>
  <si>
    <t>Available hours</t>
  </si>
  <si>
    <t>MIGS - $12000/month</t>
  </si>
  <si>
    <t>Advertising - Queens OB/GYN</t>
  </si>
  <si>
    <t>VP Finance - $19600/month</t>
  </si>
  <si>
    <t>VP Marketing - $19600/month</t>
  </si>
  <si>
    <t>Controller - $12000/month</t>
  </si>
  <si>
    <t>Director of Practice Operations - $15000/month</t>
  </si>
  <si>
    <t>Director of Sales - $12000/month</t>
  </si>
  <si>
    <t>NOTES ON ASSUMPTIONS</t>
  </si>
  <si>
    <t>Uncollectible AR is also accounted for in the CFO percentage number for baseline operations as well as the AR collections assumptions, such as in rows 26, 27, 31,36, &amp; 37.</t>
  </si>
  <si>
    <t>EBITDA percentage is shown as 45% of Net Revenue to capture historical margins. This figure underestimates EBITDA because substantial expenses (executive salaries, HQ salaries) are not expected to go up with revenue. This should be (1) updated every quarter to reflect TTM(?) actuals or (2) calculated based on the integration of the comprehensive model.</t>
  </si>
  <si>
    <t>Net Income is shown as 40% of Net Revenue and is similarly adjusted by the same adjustments as EBITDA.</t>
  </si>
  <si>
    <t>Cash Flow from Operations is set at 50% of EBITDA to capture historical margins. This should be (1) updated every quarter to reflect TTM(?) actuals or (2) calculated based on the integration of the comprehensive model.</t>
  </si>
  <si>
    <t>CFO percentage should NOT be adjusted by the EBITDA/Net Income adjustments because it is calculated on EBITDA and therefore those adjustments already reduce EBITDA.</t>
  </si>
  <si>
    <t>Free Cash Flow reflects a $50,000 per month reduction. This is a placeholder that allows for various debt repayment items.</t>
  </si>
  <si>
    <t>VIVA EVE - Manhattan Ops</t>
  </si>
  <si>
    <t>VIVA EVE - Current Growth</t>
  </si>
  <si>
    <t>Loan Proceeds</t>
  </si>
  <si>
    <t>Deposit for LC</t>
  </si>
  <si>
    <t>Location</t>
  </si>
  <si>
    <t>Exam Rooms</t>
  </si>
  <si>
    <t>Exam Room Hours</t>
  </si>
  <si>
    <t>Gross Revenue</t>
  </si>
  <si>
    <t>Impressions</t>
  </si>
  <si>
    <t>Clicks</t>
  </si>
  <si>
    <t>Prospects</t>
  </si>
  <si>
    <t>Leads</t>
  </si>
  <si>
    <t>Opportunities</t>
  </si>
  <si>
    <t>Patient Available Hours</t>
  </si>
  <si>
    <t>Growth target</t>
  </si>
  <si>
    <t>Y0 Baseline</t>
  </si>
  <si>
    <t>Y1</t>
  </si>
  <si>
    <t>Y2</t>
  </si>
  <si>
    <t>Y3</t>
  </si>
  <si>
    <t>Growth Target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</si>
  <si>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</si>
  <si>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</si>
  <si>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</si>
  <si>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</si>
  <si>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</si>
  <si>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</si>
  <si>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</si>
  <si>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</si>
  <si>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</si>
  <si>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</si>
  <si>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</si>
  <si>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</si>
  <si>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</si>
  <si>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</si>
  <si>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</si>
  <si>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</si>
  <si>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</si>
  <si>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</si>
  <si>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</si>
  <si>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</si>
  <si>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</si>
  <si>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</si>
  <si>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</si>
  <si>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</si>
  <si>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Drivers</t>
  </si>
  <si>
    <t>PAH/ERAH</t>
  </si>
  <si>
    <t>Visits/PAH</t>
  </si>
  <si>
    <t>NetRev/Visit</t>
  </si>
  <si>
    <t>Gross Profit/Net Rev</t>
  </si>
  <si>
    <t>EBITDA/GP</t>
  </si>
  <si>
    <t>NI/EBITDA</t>
  </si>
  <si>
    <t>CFO/NI</t>
  </si>
  <si>
    <t>FCF/CFO</t>
  </si>
  <si>
    <t>Cash balance/FCF</t>
  </si>
  <si>
    <t>Net Revenue/Visit</t>
  </si>
  <si>
    <t>Obgyn</t>
  </si>
  <si>
    <t>UFE</t>
  </si>
  <si>
    <t>Gross profit/Net Rev</t>
  </si>
  <si>
    <t>EBITDA/Gross Profit</t>
  </si>
  <si>
    <t>Net Income/EBITDA</t>
  </si>
  <si>
    <t>CFO/Net Income</t>
  </si>
  <si>
    <t>CFO/NI (2019)</t>
  </si>
  <si>
    <t>FCF/CFO (2019)</t>
  </si>
  <si>
    <t>ERAH/1000 Cash Balance</t>
  </si>
  <si>
    <t>EBT</t>
  </si>
  <si>
    <t>EBIT</t>
  </si>
  <si>
    <t>CFO</t>
  </si>
  <si>
    <t>CFI</t>
  </si>
  <si>
    <t>CFO+CFI</t>
  </si>
  <si>
    <t>CFO Additions to Working Capital</t>
  </si>
  <si>
    <t>CFO Non-cash Charges</t>
  </si>
  <si>
    <t>CPT</t>
  </si>
  <si>
    <t>Visit ID</t>
  </si>
  <si>
    <t>Actual Hours Worked</t>
  </si>
  <si>
    <t>Scheduled Hours</t>
  </si>
  <si>
    <t>Provider</t>
  </si>
  <si>
    <t>Ad Dollars</t>
  </si>
  <si>
    <t>Medical Support Staff</t>
  </si>
  <si>
    <t>Staff Employees</t>
  </si>
  <si>
    <t>Total Employees</t>
  </si>
  <si>
    <t>New Visits</t>
  </si>
  <si>
    <t>Longer term goals</t>
  </si>
  <si>
    <t>OBGYN procedures</t>
  </si>
  <si>
    <t>validation check</t>
  </si>
  <si>
    <t>Y4</t>
  </si>
  <si>
    <t>Y5</t>
  </si>
  <si>
    <t>net rev/visit</t>
  </si>
  <si>
    <t>EBITDA Margin</t>
  </si>
  <si>
    <t>Multiple</t>
  </si>
  <si>
    <t>EV</t>
  </si>
  <si>
    <t>Strategic Plan</t>
  </si>
  <si>
    <t>as of 24-Jun-2020</t>
  </si>
  <si>
    <t>Q3 2020</t>
  </si>
  <si>
    <t>Q4 2020</t>
  </si>
  <si>
    <t>Q1 2021</t>
  </si>
  <si>
    <t>Q2 2021</t>
  </si>
  <si>
    <t>Q3 2021</t>
  </si>
  <si>
    <t>Q4 2021</t>
  </si>
  <si>
    <t>Q1 2022</t>
  </si>
  <si>
    <t>Q2 2022</t>
  </si>
  <si>
    <t>Q3 2022</t>
  </si>
  <si>
    <t>Q4 2022</t>
  </si>
  <si>
    <t>Q1 2023</t>
  </si>
  <si>
    <t>Q2 2023</t>
  </si>
  <si>
    <t>OBGYN - FHQ</t>
  </si>
  <si>
    <t>OBGYN - MNH</t>
  </si>
  <si>
    <t>OBGYN - MN2</t>
  </si>
  <si>
    <t>FIBROIDS</t>
  </si>
  <si>
    <t>MIGS</t>
  </si>
  <si>
    <t>Anesthesia</t>
  </si>
  <si>
    <t>Facility Fees</t>
  </si>
  <si>
    <t>TOTAL REVENUE</t>
  </si>
  <si>
    <t>TTM</t>
  </si>
  <si>
    <t>Patient Visits</t>
  </si>
  <si>
    <t>OBGYN Procs - FHQ</t>
  </si>
  <si>
    <t>OBGYN Procs - MNH</t>
  </si>
  <si>
    <t>OBGYN Procs - MN2</t>
  </si>
  <si>
    <t>VIVA EVE UFE</t>
  </si>
  <si>
    <t>Surgery</t>
  </si>
  <si>
    <t>Anesthesia procedures</t>
  </si>
  <si>
    <t>Visits/month</t>
  </si>
  <si>
    <t>start</t>
  </si>
  <si>
    <t>Service</t>
  </si>
  <si>
    <t>Facility Fee %</t>
  </si>
  <si>
    <t>OBGYN visit</t>
  </si>
  <si>
    <t>Office visit</t>
  </si>
  <si>
    <t>Ultrasound</t>
  </si>
  <si>
    <t>OBGYN procedure</t>
  </si>
  <si>
    <t>MIGS surgery</t>
  </si>
  <si>
    <t>NOT UPDATED BELOW HERE</t>
  </si>
  <si>
    <t>Surgery/qtr/MIGS</t>
  </si>
  <si>
    <t>OBGYN</t>
  </si>
  <si>
    <t>MD</t>
  </si>
  <si>
    <t>NP</t>
  </si>
  <si>
    <t>Fibroids IR</t>
  </si>
  <si>
    <t>1+2</t>
  </si>
  <si>
    <t>https://docs.google.com/spreadsheets/d/1B34pgntEgkLFMQQ96zLj_XijYwJJx8AuhfoN37k96Iw/edit#gid=494501149</t>
  </si>
  <si>
    <t>Y0 - Baseline</t>
  </si>
  <si>
    <t>Acquisition</t>
  </si>
  <si>
    <t>Specialty #3 - Acquisition</t>
  </si>
  <si>
    <t>Specialty #2</t>
  </si>
  <si>
    <t>Acquisitions &amp; ASC</t>
  </si>
  <si>
    <t>Date</t>
  </si>
  <si>
    <t>Company</t>
  </si>
  <si>
    <t>Fibroids</t>
  </si>
  <si>
    <t>FHQ</t>
  </si>
  <si>
    <t>FHMS</t>
  </si>
  <si>
    <t>HQ</t>
  </si>
  <si>
    <t>Spectrafem</t>
  </si>
  <si>
    <t>Jan</t>
  </si>
  <si>
    <t>Feb</t>
  </si>
  <si>
    <t>Mar</t>
  </si>
  <si>
    <t>Apr</t>
  </si>
  <si>
    <t>May</t>
  </si>
  <si>
    <t>Net Income/EBT</t>
  </si>
  <si>
    <t>EBT/EBIT</t>
  </si>
  <si>
    <t>EBIT/EBITDA</t>
  </si>
  <si>
    <t>CFO/CFO Additions</t>
  </si>
  <si>
    <t>CFO Additions to Working Capital/CFO non-cash</t>
  </si>
  <si>
    <t>CFO Non-cash Charges/Net Income</t>
  </si>
  <si>
    <t>Free Cash Flow/(CFO+CFI)</t>
  </si>
  <si>
    <t>(CFO+CFI)/CFO</t>
  </si>
  <si>
    <t>sum</t>
  </si>
  <si>
    <t>PRO</t>
  </si>
  <si>
    <t>Visits(excess)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</si>
</sst>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yy"/>
    <numFmt numFmtId="165" formatCode="_(* #,##0_);_(* \(#,##0\);_(* &quot;-&quot;??_);_(@_)"/>
    <numFmt numFmtId="166" formatCode="_(&quot;$&quot;* #,##0_);_(&quot;$&quot;* \(#,##0\);_(&quot;$&quot;* &quot;-&quot;??_);_(@_)"/>
    <numFmt numFmtId="167" formatCode="_([$$-409]* #,##0_);_([$$-409]* \(#,##0\);_([$$-409]* &quot;-&quot;??_);_(@_)"/>
    <numFmt numFmtId="168" formatCode="0.0%"/>
    <numFmt numFmtId="169" formatCode="_(* #,##0.0000_);_(* \(#,##0.0000\);_(* &quot;-&quot;??_);_(@_)"/>
    <numFmt numFmtId="170" formatCode="&quot;$&quot;#,##0"/>
  </numFmts>
  <fonts count="32" x14ac:knownFonts="1">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1"/>
      <color theme="3"/>
      <name val="Calibri"/>
      <family val="2"/>
      <scheme val="minor"/>
    </font>
    <font>
      <sz val="11"/>
      <color rgb="FF9C5700"/>
      <name val="Calibri"/>
      <family val="2"/>
      <scheme val="minor"/>
    </font>
    <font>
      <sz val="12"/>
      <color rgb="FF3F3F76"/>
      <name val="Calibri"/>
      <family val="2"/>
      <scheme val="minor"/>
    </font>
    <font>
      <sz val="12"/>
      <color theme="1"/>
      <name val="Calibri"/>
      <family val="2"/>
      <scheme val="minor"/>
    </font>
    <font>
      <sz val="11"/>
      <color theme="1"/>
      <name val="Calibri"/>
      <family val="2"/>
      <scheme val="minor"/>
    </font>
    <font>
      <b/>
      <sz val="9"/>
      <color rgb="FF000000"/>
      <name val="Tahoma"/>
      <family val="2"/>
    </font>
    <font>
      <sz val="9"/>
      <color rgb="FF000000"/>
      <name val="Tahoma"/>
      <family val="2"/>
    </font>
    <font>
      <b/>
      <sz val="12"/>
      <color rgb="FF3F3F76"/>
      <name val="Calibri"/>
      <family val="2"/>
      <scheme val="minor"/>
    </font>
    <font>
      <b/>
      <sz val="11"/>
      <color rgb="FF9C5700"/>
      <name val="Calibri"/>
      <family val="2"/>
      <scheme val="minor"/>
    </font>
    <font>
      <sz val="11"/>
      <color rgb="FF000000"/>
      <name val="Calibri"/>
      <family val="2"/>
      <scheme val="minor"/>
    </font>
    <font>
      <b/>
      <sz val="11"/>
      <color theme="1"/>
      <name val="Calibri"/>
      <family val="2"/>
      <scheme val="minor"/>
    </font>
    <font>
      <i/>
      <sz val="11"/>
      <color theme="1"/>
      <name val="Calibri"/>
      <family val="2"/>
      <scheme val="minor"/>
    </font>
    <font>
      <sz val="10"/>
      <color rgb="FF000000"/>
      <name val="Tahoma"/>
      <family val="2"/>
    </font>
    <font>
      <b/>
      <sz val="10"/>
      <color rgb="FF000000"/>
      <name val="Tahoma"/>
      <family val="2"/>
    </font>
    <font>
      <b/>
      <sz val="15"/>
      <color rgb="FF666699"/>
      <name val="Calibri"/>
      <family val="2"/>
      <scheme val="minor"/>
    </font>
    <font>
      <i/>
      <sz val="12"/>
      <name val="Calibri"/>
      <family val="2"/>
      <scheme val="minor"/>
    </font>
    <font>
      <sz val="13"/>
      <color rgb="FF000000"/>
      <name val="Arial"/>
      <family val="2"/>
    </font>
    <font>
      <sz val="11"/>
      <name val="Calibri"/>
      <family val="2"/>
      <scheme val="minor"/>
    </font>
    <font>
      <sz val="12"/>
      <color rgb="FF000000"/>
      <name val="Calibri"/>
      <family val="2"/>
    </font>
    <font>
      <sz val="10"/>
      <color rgb="FF000000"/>
      <name val="Arial"/>
      <family val="2"/>
    </font>
    <font>
      <sz val="10"/>
      <color theme="1"/>
      <name val="Arial"/>
      <family val="2"/>
    </font>
    <font>
      <u/>
      <sz val="11"/>
      <color theme="10"/>
      <name val="Calibri"/>
      <family val="2"/>
      <scheme val="minor"/>
    </font>
    <font>
      <sz val="10"/>
      <name val="Arial"/>
      <family val="2"/>
    </font>
    <font>
      <i/>
      <sz val="10"/>
      <name val="Arial"/>
      <family val="2"/>
    </font>
    <font>
      <sz val="12"/>
      <name val="Arial"/>
      <family val="2"/>
    </font>
    <font>
      <b/>
      <sz val="10"/>
      <name val="Arial"/>
      <family val="2"/>
    </font>
    <font>
      <sz val="10"/>
      <color rgb="FFFF0000"/>
      <name val="Arial"/>
      <family val="2"/>
    </font>
    <font>
      <sz val="16"/>
      <name val="Arial"/>
      <family val="2"/>
    </font>
  </fonts>
  <fills count="19">
    <fill>
      <patternFill patternType="none"/>
    </fill>
    <fill>
      <patternFill patternType="gray125"/>
    </fill>
    <fill>
      <patternFill patternType="solid">
        <fgColor rgb="FFFFEB9C"/>
      </patternFill>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B6D7A8"/>
        <bgColor rgb="FFB6D7A8"/>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92D050"/>
        <bgColor indexed="64"/>
      </patternFill>
    </fill>
    <fill>
      <patternFill patternType="solid">
        <fgColor rgb="FFFFC000"/>
        <bgColor indexed="64"/>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rgb="FF000000"/>
      </bottom>
      <diagonal/>
    </border>
  </borders>
  <cellStyleXfs count="15">
    <xf numFmtId="0" fontId="0" fillId="0" borderId="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6" fillId="3" borderId="3" applyNumberFormat="0" applyAlignment="0">
      <protection locked="0"/>
    </xf>
    <xf numFmtId="164" fontId="4" fillId="0" borderId="2">
      <alignment horizontal="center"/>
    </xf>
    <xf numFmtId="41" fontId="7"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0" fontId="19" fillId="9" borderId="5" applyNumberFormat="0" applyAlignment="0" applyProtection="0"/>
    <xf numFmtId="9" fontId="8" fillId="0" borderId="0" applyFont="0" applyFill="0" applyBorder="0" applyAlignment="0" applyProtection="0"/>
    <xf numFmtId="0" fontId="25" fillId="0" borderId="0" applyNumberFormat="0" applyFill="0" applyBorder="0" applyAlignment="0" applyProtection="0"/>
    <xf numFmtId="0" fontId="23" fillId="0" borderId="0"/>
  </cellStyleXfs>
  <cellXfs count="113">
    <xf numFmtId="0" fontId="0" fillId="0" borderId="0" xfId="0"/>
    <xf numFmtId="0" fontId="3" fillId="0" borderId="1" xfId="1"/>
    <xf numFmtId="0" fontId="4" fillId="0" borderId="2" xfId="2"/>
    <xf numFmtId="164" fontId="4" fillId="0" borderId="2" xfId="5">
      <alignment horizontal="center"/>
    </xf>
    <xf numFmtId="6" fontId="6" fillId="3" borderId="3" xfId="4" applyNumberFormat="1">
      <protection locked="0"/>
    </xf>
    <xf numFmtId="0" fontId="6" fillId="3" borderId="3" xfId="4">
      <protection locked="0"/>
    </xf>
    <xf numFmtId="0" fontId="5" fillId="2" borderId="3" xfId="3" applyBorder="1" applyProtection="1">
      <protection locked="0"/>
    </xf>
    <xf numFmtId="2" fontId="6" fillId="3" borderId="3" xfId="4" applyNumberFormat="1">
      <protection locked="0"/>
    </xf>
    <xf numFmtId="1" fontId="6" fillId="3" borderId="3" xfId="4" applyNumberFormat="1">
      <protection locked="0"/>
    </xf>
    <xf numFmtId="165" fontId="6" fillId="3" borderId="3" xfId="7" applyNumberFormat="1" applyFont="1" applyFill="1" applyBorder="1" applyProtection="1">
      <protection locked="0"/>
    </xf>
    <xf numFmtId="0" fontId="12" fillId="2" borderId="3" xfId="3" applyFont="1" applyBorder="1" applyProtection="1">
      <protection locked="0"/>
    </xf>
    <xf numFmtId="0" fontId="0" fillId="0" borderId="0" xfId="0" applyAlignment="1">
      <alignment horizontal="left" indent="1"/>
    </xf>
    <xf numFmtId="0" fontId="13" fillId="0" borderId="0" xfId="0" applyFont="1" applyAlignment="1">
      <alignment horizontal="left" indent="1"/>
    </xf>
    <xf numFmtId="9" fontId="0" fillId="0" borderId="0" xfId="0" applyNumberFormat="1"/>
    <xf numFmtId="0" fontId="13" fillId="0" borderId="0" xfId="0" applyFont="1" applyAlignment="1">
      <alignment horizontal="left"/>
    </xf>
    <xf numFmtId="0" fontId="0" fillId="4" borderId="0" xfId="0" applyFill="1"/>
    <xf numFmtId="0" fontId="0" fillId="4" borderId="0" xfId="0" applyFill="1" applyAlignment="1">
      <alignment horizontal="left" indent="1"/>
    </xf>
    <xf numFmtId="9" fontId="0" fillId="4" borderId="0" xfId="0" applyNumberFormat="1" applyFill="1"/>
    <xf numFmtId="0" fontId="0" fillId="5" borderId="0" xfId="0" applyFill="1"/>
    <xf numFmtId="0" fontId="0" fillId="5" borderId="0" xfId="0" applyFill="1" applyAlignment="1">
      <alignment horizontal="left" indent="1"/>
    </xf>
    <xf numFmtId="9" fontId="0" fillId="5" borderId="0" xfId="0" applyNumberFormat="1" applyFill="1"/>
    <xf numFmtId="0" fontId="13" fillId="6" borderId="0" xfId="0" applyFont="1" applyFill="1" applyAlignment="1">
      <alignment horizontal="left"/>
    </xf>
    <xf numFmtId="0" fontId="0" fillId="6" borderId="0" xfId="0" applyFill="1"/>
    <xf numFmtId="0" fontId="0" fillId="6" borderId="0" xfId="0" applyFill="1" applyAlignment="1">
      <alignment horizontal="left" indent="1"/>
    </xf>
    <xf numFmtId="9" fontId="0" fillId="6" borderId="0" xfId="0" applyNumberFormat="1" applyFill="1"/>
    <xf numFmtId="1" fontId="11" fillId="0" borderId="0" xfId="4" applyNumberFormat="1" applyFont="1" applyFill="1" applyBorder="1">
      <protection locked="0"/>
    </xf>
    <xf numFmtId="1" fontId="6" fillId="0" borderId="0" xfId="4" applyNumberFormat="1" applyFill="1" applyBorder="1">
      <protection locked="0"/>
    </xf>
    <xf numFmtId="6" fontId="0" fillId="0" borderId="0" xfId="0" applyNumberFormat="1"/>
    <xf numFmtId="166" fontId="6" fillId="3" borderId="3" xfId="8" applyNumberFormat="1" applyFont="1" applyFill="1" applyBorder="1" applyProtection="1">
      <protection locked="0"/>
    </xf>
    <xf numFmtId="0" fontId="0" fillId="0" borderId="0" xfId="0" applyAlignment="1">
      <alignment horizontal="left"/>
    </xf>
    <xf numFmtId="0" fontId="0" fillId="0" borderId="0" xfId="0" applyFill="1"/>
    <xf numFmtId="0" fontId="0" fillId="0" borderId="0" xfId="0" applyFill="1" applyAlignment="1">
      <alignment horizontal="left" indent="1"/>
    </xf>
    <xf numFmtId="6" fontId="0" fillId="0" borderId="0" xfId="0" applyNumberFormat="1" applyFill="1"/>
    <xf numFmtId="9" fontId="0" fillId="0" borderId="0" xfId="0" applyNumberFormat="1" applyFill="1"/>
    <xf numFmtId="8" fontId="0" fillId="0" borderId="0" xfId="0" applyNumberFormat="1" applyFill="1"/>
    <xf numFmtId="0" fontId="0" fillId="0" borderId="0" xfId="0" applyFill="1" applyAlignment="1">
      <alignment horizontal="left" indent="2"/>
    </xf>
    <xf numFmtId="0" fontId="14" fillId="0" borderId="0" xfId="0" applyFont="1" applyFill="1"/>
    <xf numFmtId="0" fontId="15" fillId="0" borderId="0" xfId="0" applyFont="1" applyAlignment="1">
      <alignment horizontal="left" indent="2"/>
    </xf>
    <xf numFmtId="0" fontId="15" fillId="0" borderId="0" xfId="0" applyFont="1"/>
    <xf numFmtId="6" fontId="6" fillId="3" borderId="3" xfId="4" applyNumberFormat="1" applyFont="1">
      <protection locked="0"/>
    </xf>
    <xf numFmtId="0" fontId="0" fillId="7" borderId="0" xfId="0" applyFill="1"/>
    <xf numFmtId="0" fontId="18" fillId="0" borderId="0" xfId="0" applyFont="1"/>
    <xf numFmtId="164" fontId="4" fillId="0" borderId="2" xfId="2" applyNumberFormat="1" applyAlignment="1">
      <alignment horizontal="center"/>
    </xf>
    <xf numFmtId="167" fontId="6" fillId="3" borderId="3" xfId="10" applyNumberFormat="1" applyFont="1" applyFill="1" applyBorder="1" applyAlignment="1" applyProtection="1">
      <alignment horizontal="center"/>
      <protection locked="0"/>
    </xf>
    <xf numFmtId="0" fontId="6" fillId="3" borderId="3" xfId="4" applyAlignment="1">
      <alignment horizontal="center"/>
      <protection locked="0"/>
    </xf>
    <xf numFmtId="1" fontId="6" fillId="3" borderId="3" xfId="4" applyNumberFormat="1" applyAlignment="1">
      <alignment horizontal="center"/>
      <protection locked="0"/>
    </xf>
    <xf numFmtId="42" fontId="5" fillId="2" borderId="3" xfId="3" applyNumberFormat="1" applyBorder="1" applyAlignment="1" applyProtection="1">
      <alignment horizontal="center"/>
      <protection locked="0"/>
    </xf>
    <xf numFmtId="42" fontId="6" fillId="3" borderId="3" xfId="4" applyNumberFormat="1" applyAlignment="1">
      <alignment horizontal="center"/>
      <protection locked="0"/>
    </xf>
    <xf numFmtId="1" fontId="0" fillId="0" borderId="0" xfId="0" applyNumberFormat="1"/>
    <xf numFmtId="0" fontId="0" fillId="0" borderId="0" xfId="0" applyAlignment="1">
      <alignment horizontal="left" indent="2"/>
    </xf>
    <xf numFmtId="0" fontId="0" fillId="0" borderId="4" xfId="0" applyBorder="1"/>
    <xf numFmtId="0" fontId="13" fillId="8" borderId="0" xfId="0" applyFont="1" applyFill="1"/>
    <xf numFmtId="0" fontId="0" fillId="8" borderId="0" xfId="0" applyFill="1"/>
    <xf numFmtId="0" fontId="13" fillId="8" borderId="0" xfId="0" applyFont="1" applyFill="1" applyAlignment="1">
      <alignment horizontal="left" indent="1"/>
    </xf>
    <xf numFmtId="9" fontId="0" fillId="8" borderId="0" xfId="0" applyNumberFormat="1" applyFill="1"/>
    <xf numFmtId="0" fontId="0" fillId="8" borderId="0" xfId="0" applyFill="1" applyAlignment="1">
      <alignment horizontal="left" indent="1"/>
    </xf>
    <xf numFmtId="0" fontId="13" fillId="0" borderId="0" xfId="0" applyFont="1"/>
    <xf numFmtId="0" fontId="6" fillId="3" borderId="3" xfId="4" applyFont="1">
      <protection locked="0"/>
    </xf>
    <xf numFmtId="0" fontId="20" fillId="0" borderId="0" xfId="0" applyFont="1"/>
    <xf numFmtId="0" fontId="0" fillId="0" borderId="0" xfId="0" applyAlignment="1">
      <alignment horizontal="center"/>
    </xf>
    <xf numFmtId="166" fontId="0" fillId="0" borderId="0" xfId="8" applyNumberFormat="1" applyFont="1"/>
    <xf numFmtId="9" fontId="0" fillId="0" borderId="0" xfId="0" applyNumberFormat="1" applyAlignment="1">
      <alignment horizontal="left" indent="1"/>
    </xf>
    <xf numFmtId="166" fontId="0" fillId="0" borderId="0" xfId="0" applyNumberFormat="1"/>
    <xf numFmtId="44" fontId="0" fillId="0" borderId="0" xfId="0" applyNumberFormat="1"/>
    <xf numFmtId="168" fontId="0" fillId="0" borderId="0" xfId="0" applyNumberFormat="1"/>
    <xf numFmtId="168" fontId="21" fillId="10" borderId="0" xfId="12" applyNumberFormat="1" applyFont="1" applyFill="1"/>
    <xf numFmtId="9" fontId="0" fillId="11" borderId="0" xfId="0" applyNumberFormat="1" applyFill="1"/>
    <xf numFmtId="0" fontId="0" fillId="11" borderId="0" xfId="0" applyFill="1"/>
    <xf numFmtId="168" fontId="0" fillId="11" borderId="0" xfId="12" applyNumberFormat="1" applyFont="1" applyFill="1"/>
    <xf numFmtId="169" fontId="0" fillId="0" borderId="0" xfId="7" applyNumberFormat="1" applyFont="1"/>
    <xf numFmtId="0" fontId="0" fillId="9" borderId="0" xfId="0" applyFill="1"/>
    <xf numFmtId="168" fontId="0" fillId="9" borderId="0" xfId="12" applyNumberFormat="1" applyFont="1" applyFill="1"/>
    <xf numFmtId="0" fontId="22" fillId="0" borderId="0" xfId="0" applyFont="1"/>
    <xf numFmtId="0" fontId="23" fillId="0" borderId="0" xfId="0" applyFont="1"/>
    <xf numFmtId="0" fontId="24" fillId="0" borderId="0" xfId="0" applyFont="1"/>
    <xf numFmtId="0" fontId="24" fillId="7" borderId="0" xfId="0" applyFont="1" applyFill="1"/>
    <xf numFmtId="166" fontId="24" fillId="0" borderId="0" xfId="0" applyNumberFormat="1" applyFont="1"/>
    <xf numFmtId="1" fontId="0" fillId="0" borderId="0" xfId="0" applyNumberFormat="1" applyFill="1"/>
    <xf numFmtId="0" fontId="25" fillId="0" borderId="0" xfId="13"/>
    <xf numFmtId="0" fontId="23" fillId="0" borderId="0" xfId="14" applyFont="1" applyAlignment="1"/>
    <xf numFmtId="0" fontId="26" fillId="0" borderId="0" xfId="14" applyFont="1" applyAlignment="1"/>
    <xf numFmtId="0" fontId="26" fillId="0" borderId="0" xfId="14" applyFont="1" applyAlignment="1">
      <alignment horizontal="center"/>
    </xf>
    <xf numFmtId="0" fontId="26" fillId="12" borderId="0" xfId="14" applyFont="1" applyFill="1" applyAlignment="1">
      <alignment horizontal="center"/>
    </xf>
    <xf numFmtId="0" fontId="26" fillId="0" borderId="0" xfId="14" applyFont="1" applyAlignment="1">
      <alignment horizontal="left"/>
    </xf>
    <xf numFmtId="0" fontId="27" fillId="0" borderId="0" xfId="14" applyFont="1" applyAlignment="1">
      <alignment horizontal="center"/>
    </xf>
    <xf numFmtId="0" fontId="28" fillId="0" borderId="0" xfId="14" applyFont="1" applyAlignment="1"/>
    <xf numFmtId="0" fontId="26" fillId="13" borderId="0" xfId="14" applyFont="1" applyFill="1" applyAlignment="1">
      <alignment horizontal="right"/>
    </xf>
    <xf numFmtId="0" fontId="26" fillId="14" borderId="0" xfId="14" applyFont="1" applyFill="1"/>
    <xf numFmtId="0" fontId="26" fillId="14" borderId="0" xfId="14" applyFont="1" applyFill="1" applyAlignment="1"/>
    <xf numFmtId="170" fontId="26" fillId="15" borderId="0" xfId="14" applyNumberFormat="1" applyFont="1" applyFill="1" applyAlignment="1"/>
    <xf numFmtId="170" fontId="26" fillId="13" borderId="0" xfId="14" applyNumberFormat="1" applyFont="1" applyFill="1" applyAlignment="1">
      <alignment horizontal="right"/>
    </xf>
    <xf numFmtId="170" fontId="26" fillId="13" borderId="0" xfId="14" applyNumberFormat="1" applyFont="1" applyFill="1" applyAlignment="1"/>
    <xf numFmtId="9" fontId="26" fillId="15" borderId="0" xfId="14" applyNumberFormat="1" applyFont="1" applyFill="1" applyAlignment="1"/>
    <xf numFmtId="0" fontId="29" fillId="0" borderId="0" xfId="14" applyFont="1" applyAlignment="1">
      <alignment horizontal="center"/>
    </xf>
    <xf numFmtId="9" fontId="26" fillId="0" borderId="0" xfId="14" applyNumberFormat="1" applyFont="1" applyAlignment="1"/>
    <xf numFmtId="170" fontId="26" fillId="0" borderId="0" xfId="14" applyNumberFormat="1" applyFont="1" applyAlignment="1"/>
    <xf numFmtId="0" fontId="26" fillId="0" borderId="0" xfId="14" applyFont="1" applyAlignment="1">
      <alignment horizontal="right"/>
    </xf>
    <xf numFmtId="0" fontId="23" fillId="16" borderId="0" xfId="14" applyFont="1" applyFill="1" applyAlignment="1">
      <alignment horizontal="left"/>
    </xf>
    <xf numFmtId="3" fontId="26" fillId="0" borderId="0" xfId="14" applyNumberFormat="1" applyFont="1" applyAlignment="1"/>
    <xf numFmtId="170" fontId="26" fillId="0" borderId="6" xfId="14" applyNumberFormat="1" applyFont="1" applyBorder="1" applyAlignment="1"/>
    <xf numFmtId="0" fontId="28" fillId="0" borderId="0" xfId="14" applyFont="1" applyAlignment="1">
      <alignment horizontal="center"/>
    </xf>
    <xf numFmtId="0" fontId="30" fillId="0" borderId="0" xfId="14" applyFont="1" applyAlignment="1"/>
    <xf numFmtId="0" fontId="26" fillId="17" borderId="0" xfId="14" applyFont="1" applyFill="1" applyAlignment="1"/>
    <xf numFmtId="0" fontId="26" fillId="18" borderId="0" xfId="14" applyFont="1" applyFill="1" applyAlignment="1"/>
    <xf numFmtId="14" fontId="24" fillId="0" borderId="0" xfId="0" applyNumberFormat="1" applyFont="1"/>
    <xf numFmtId="4" fontId="24" fillId="0" borderId="0" xfId="0" applyNumberFormat="1" applyFont="1"/>
    <xf numFmtId="17" fontId="0" fillId="0" borderId="0" xfId="0" applyNumberFormat="1"/>
    <xf numFmtId="166" fontId="24" fillId="0" borderId="0" xfId="8" applyNumberFormat="1" applyFont="1"/>
    <xf numFmtId="168" fontId="0" fillId="0" borderId="0" xfId="12" applyNumberFormat="1" applyFont="1"/>
    <xf numFmtId="44" fontId="0" fillId="0" borderId="0" xfId="8" applyNumberFormat="1" applyFont="1"/>
    <xf numFmtId="44" fontId="24" fillId="0" borderId="0" xfId="8" applyNumberFormat="1" applyFont="1"/>
    <xf numFmtId="0" fontId="31" fillId="0" borderId="0" xfId="14" applyFont="1" applyAlignment="1"/>
    <xf numFmtId="0" fontId="23" fillId="0" borderId="0" xfId="14" applyFont="1" applyAlignment="1"/>
  </cellXfs>
  <cellStyles count="15">
    <cellStyle name="Comma" xfId="7" builtinId="3"/>
    <cellStyle name="Comma [0] 2" xfId="6" xr:uid="{5D668EA3-049B-4D9E-B408-05C7F583EA2E}"/>
    <cellStyle name="Currency" xfId="8" builtinId="4"/>
    <cellStyle name="FHMS DATE" xfId="5" xr:uid="{F562E47C-FE29-4397-8727-95315B5105FC}"/>
    <cellStyle name="Heading 1" xfId="1" builtinId="16"/>
    <cellStyle name="Heading 3" xfId="2" builtinId="18"/>
    <cellStyle name="Hyperlink" xfId="13" builtinId="8"/>
    <cellStyle name="Input" xfId="4" builtinId="20"/>
    <cellStyle name="Linked Cell 2" xfId="11" xr:uid="{99DEF2A1-B9CB-4DD5-9139-ACA13E3B64F6}"/>
    <cellStyle name="Neutral" xfId="3" builtinId="28"/>
    <cellStyle name="Normal" xfId="0" builtinId="0"/>
    <cellStyle name="Normal 2" xfId="14" xr:uid="{F9AED700-4EEC-2344-BD2C-0C3BF674EE4D}"/>
    <cellStyle name="Percent" xfId="12" builtinId="5"/>
    <cellStyle name="Percent 2" xfId="9" xr:uid="{2493C5A2-7A1F-DA48-989F-921850BE2254}"/>
    <cellStyle name="Percent 2 2" xfId="10" xr:uid="{9FD4B647-D336-3D4A-BE31-48F9C79A96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Users\admin\Downloads\Spectrafem%2012-Feb-2019%20costs%20on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new%20model%20(TSC)/Project%20Epione%20-%2031-Oct-2019%20(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list"/>
      <sheetName val="move this data"/>
      <sheetName val="Strat plan 14-Jan-2019"/>
      <sheetName val="demand gen"/>
      <sheetName val="Operational components summary"/>
      <sheetName val="Summary (2)"/>
      <sheetName val="Summary"/>
      <sheetName val="Global Assumptions"/>
      <sheetName val=" Spectrafem assumptions"/>
      <sheetName val="Group HR staffing plan"/>
      <sheetName val="VIVA EVE Channel assumptions"/>
      <sheetName val="VE funnel rates"/>
      <sheetName val="VIVA EVE services assumptions"/>
      <sheetName val="VE Prelaunch expenses-confirm"/>
      <sheetName val="FHMS Channel Assumptions"/>
      <sheetName val="FHMS services assumptions"/>
      <sheetName val="Cash flow assumptions"/>
      <sheetName val="MD-NP cash flow"/>
      <sheetName val="Revenue and Cost per Customer"/>
      <sheetName val="Revenue Projections"/>
      <sheetName val="Income Statement"/>
      <sheetName val="Cash Flow"/>
      <sheetName val="Balance Sheet"/>
      <sheetName val="Valuation"/>
      <sheetName val="Comparable Transactions"/>
      <sheetName val="Valuation Assumptions"/>
      <sheetName val="Financing schedule"/>
      <sheetName val="Capacity planning"/>
      <sheetName val="acquisition planning"/>
    </sheetNames>
    <sheetDataSet>
      <sheetData sheetId="0"/>
      <sheetData sheetId="1"/>
      <sheetData sheetId="2"/>
      <sheetData sheetId="3"/>
      <sheetData sheetId="4"/>
      <sheetData sheetId="5"/>
      <sheetData sheetId="6"/>
      <sheetData sheetId="7"/>
      <sheetData sheetId="8"/>
      <sheetData sheetId="9"/>
      <sheetData sheetId="10">
        <row r="2">
          <cell r="A2" t="str">
            <v>VIVA EVE</v>
          </cell>
        </row>
      </sheetData>
      <sheetData sheetId="11"/>
      <sheetData sheetId="12"/>
      <sheetData sheetId="13"/>
      <sheetData sheetId="14">
        <row r="163">
          <cell r="G163">
            <v>304200</v>
          </cell>
        </row>
      </sheetData>
      <sheetData sheetId="15"/>
      <sheetData sheetId="16"/>
      <sheetData sheetId="17"/>
      <sheetData sheetId="18"/>
      <sheetData sheetId="19"/>
      <sheetData sheetId="20"/>
      <sheetData sheetId="21"/>
      <sheetData sheetId="22"/>
      <sheetData sheetId="23">
        <row r="22">
          <cell r="D22">
            <v>0.2457309396155174</v>
          </cell>
        </row>
      </sheetData>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 Drivers Summary"/>
      <sheetName val="DASHBOARD -Summary"/>
      <sheetName val="INPUTS"/>
      <sheetName val="INPUT - USER CONFIGURATION"/>
      <sheetName val="INPUT - ACTUAL RESULTS"/>
      <sheetName val="INPUT- CONSOLIDATED EXPENSES"/>
      <sheetName val="INPUT - Staffing"/>
      <sheetName val="INPUT - Scenario Building"/>
      <sheetName val="STAGING"/>
      <sheetName val="LOGIC"/>
      <sheetName val="LOGIC - Drivers"/>
      <sheetName val="LOGIC - Strategic Scenarios "/>
      <sheetName val="Data table"/>
      <sheetName val="OUTPUT"/>
      <sheetName val="OUTPUT - Income Stmt (Drivers)"/>
      <sheetName val="OUTPUT - Income Stmt (QTLY)"/>
      <sheetName val="Project Epione - 31-Oct-2019 (m"/>
    </sheetNames>
    <sheetDataSet>
      <sheetData sheetId="0"/>
      <sheetData sheetId="1"/>
      <sheetData sheetId="2"/>
      <sheetData sheetId="3">
        <row r="3">
          <cell r="B3">
            <v>43466</v>
          </cell>
        </row>
        <row r="9">
          <cell r="J9" t="str">
            <v>Invested Cash</v>
          </cell>
          <cell r="K9" t="str">
            <v>Invested Cash</v>
          </cell>
        </row>
        <row r="10">
          <cell r="J10" t="str">
            <v>Exam Rooms</v>
          </cell>
          <cell r="K10" t="str">
            <v>Exam Rooms/Invested Cash</v>
          </cell>
        </row>
        <row r="11">
          <cell r="J11" t="str">
            <v>Available Hours</v>
          </cell>
          <cell r="K11" t="str">
            <v>Available Hours/Exam Rooms</v>
          </cell>
        </row>
        <row r="12">
          <cell r="J12" t="str">
            <v>Visits</v>
          </cell>
          <cell r="K12" t="str">
            <v>Visits/Available Hours</v>
          </cell>
        </row>
        <row r="13">
          <cell r="J13" t="str">
            <v>Net Revenue</v>
          </cell>
          <cell r="K13" t="str">
            <v>Net Revenue/Visits</v>
          </cell>
        </row>
        <row r="14">
          <cell r="J14" t="str">
            <v>EBITDA</v>
          </cell>
          <cell r="K14" t="str">
            <v>EBITDA/Net Revenue</v>
          </cell>
        </row>
        <row r="15">
          <cell r="J15" t="str">
            <v>Net Income</v>
          </cell>
          <cell r="K15" t="str">
            <v>Net Income/EBITDA</v>
          </cell>
        </row>
        <row r="16">
          <cell r="J16" t="str">
            <v>Free Cash Flow</v>
          </cell>
          <cell r="K16" t="str">
            <v>Free Cash Flow/Net Income</v>
          </cell>
        </row>
        <row r="17">
          <cell r="J17" t="str">
            <v/>
          </cell>
          <cell r="K17" t="str">
            <v/>
          </cell>
        </row>
        <row r="18">
          <cell r="J18" t="str">
            <v/>
          </cell>
          <cell r="K18" t="str">
            <v/>
          </cell>
        </row>
        <row r="19">
          <cell r="J19" t="str">
            <v/>
          </cell>
          <cell r="K19" t="str">
            <v/>
          </cell>
        </row>
        <row r="20">
          <cell r="J20" t="str">
            <v/>
          </cell>
          <cell r="K20" t="str">
            <v/>
          </cell>
        </row>
        <row r="21">
          <cell r="J21" t="str">
            <v/>
          </cell>
          <cell r="K21" t="str">
            <v/>
          </cell>
        </row>
        <row r="22">
          <cell r="J22" t="str">
            <v/>
          </cell>
          <cell r="K22" t="str">
            <v/>
          </cell>
        </row>
        <row r="23">
          <cell r="J23" t="str">
            <v/>
          </cell>
          <cell r="K23" t="str">
            <v/>
          </cell>
        </row>
        <row r="24">
          <cell r="J24" t="str">
            <v/>
          </cell>
          <cell r="K24" t="str">
            <v/>
          </cell>
        </row>
        <row r="25">
          <cell r="J25" t="str">
            <v/>
          </cell>
          <cell r="K25" t="str">
            <v/>
          </cell>
        </row>
      </sheetData>
      <sheetData sheetId="4">
        <row r="3">
          <cell r="B3">
            <v>43496</v>
          </cell>
          <cell r="C3">
            <v>43524</v>
          </cell>
          <cell r="D3">
            <v>43555</v>
          </cell>
          <cell r="E3">
            <v>43585</v>
          </cell>
          <cell r="F3">
            <v>43616</v>
          </cell>
          <cell r="G3">
            <v>43646</v>
          </cell>
          <cell r="H3">
            <v>43677</v>
          </cell>
          <cell r="I3">
            <v>43708</v>
          </cell>
          <cell r="J3">
            <v>43738</v>
          </cell>
          <cell r="K3">
            <v>43769</v>
          </cell>
          <cell r="L3">
            <v>43799</v>
          </cell>
          <cell r="M3">
            <v>43830</v>
          </cell>
          <cell r="N3">
            <v>43861</v>
          </cell>
          <cell r="O3">
            <v>43890</v>
          </cell>
          <cell r="P3">
            <v>43921</v>
          </cell>
          <cell r="Q3">
            <v>43951</v>
          </cell>
          <cell r="R3">
            <v>43982</v>
          </cell>
          <cell r="S3">
            <v>44012</v>
          </cell>
          <cell r="T3">
            <v>44043</v>
          </cell>
          <cell r="U3">
            <v>44074</v>
          </cell>
          <cell r="V3">
            <v>44104</v>
          </cell>
          <cell r="W3">
            <v>44135</v>
          </cell>
          <cell r="X3">
            <v>44165</v>
          </cell>
          <cell r="Y3">
            <v>44196</v>
          </cell>
          <cell r="Z3">
            <v>44227</v>
          </cell>
          <cell r="AA3">
            <v>44255</v>
          </cell>
          <cell r="AB3">
            <v>44286</v>
          </cell>
          <cell r="AC3">
            <v>44316</v>
          </cell>
          <cell r="AD3">
            <v>44347</v>
          </cell>
          <cell r="AE3">
            <v>44377</v>
          </cell>
          <cell r="AF3">
            <v>44408</v>
          </cell>
          <cell r="AG3">
            <v>44439</v>
          </cell>
          <cell r="AH3">
            <v>44469</v>
          </cell>
          <cell r="AI3">
            <v>44500</v>
          </cell>
          <cell r="AJ3">
            <v>44530</v>
          </cell>
          <cell r="AK3">
            <v>44561</v>
          </cell>
        </row>
        <row r="4">
          <cell r="A4" t="str">
            <v>Cash Reserve</v>
          </cell>
          <cell r="B4">
            <v>2000000</v>
          </cell>
          <cell r="C4">
            <v>2000000</v>
          </cell>
          <cell r="D4">
            <v>2000000</v>
          </cell>
          <cell r="E4">
            <v>2000000</v>
          </cell>
          <cell r="F4">
            <v>2000000</v>
          </cell>
          <cell r="G4">
            <v>2000000</v>
          </cell>
          <cell r="H4">
            <v>2000000</v>
          </cell>
          <cell r="I4">
            <v>2000000</v>
          </cell>
          <cell r="J4">
            <v>2000000</v>
          </cell>
          <cell r="K4"/>
          <cell r="L4"/>
          <cell r="M4"/>
          <cell r="N4"/>
          <cell r="O4"/>
          <cell r="P4"/>
          <cell r="Q4"/>
          <cell r="R4"/>
          <cell r="S4"/>
          <cell r="T4"/>
          <cell r="U4"/>
          <cell r="V4"/>
          <cell r="W4"/>
          <cell r="X4"/>
          <cell r="Y4"/>
          <cell r="Z4"/>
          <cell r="AA4"/>
          <cell r="AB4"/>
          <cell r="AC4"/>
          <cell r="AD4"/>
          <cell r="AE4"/>
          <cell r="AF4"/>
          <cell r="AG4"/>
          <cell r="AH4"/>
          <cell r="AI4"/>
          <cell r="AJ4"/>
          <cell r="AK4"/>
        </row>
        <row r="5">
          <cell r="A5" t="str">
            <v>Invested Cash</v>
          </cell>
          <cell r="B5">
            <v>250000</v>
          </cell>
          <cell r="C5">
            <v>250000</v>
          </cell>
          <cell r="D5">
            <v>250000</v>
          </cell>
          <cell r="E5">
            <v>250000</v>
          </cell>
          <cell r="F5">
            <v>250000</v>
          </cell>
          <cell r="G5">
            <v>250000</v>
          </cell>
          <cell r="H5">
            <v>250000</v>
          </cell>
          <cell r="I5">
            <v>250000</v>
          </cell>
          <cell r="J5">
            <v>250000</v>
          </cell>
          <cell r="K5"/>
          <cell r="L5"/>
          <cell r="M5"/>
          <cell r="N5"/>
          <cell r="O5"/>
          <cell r="P5"/>
          <cell r="Q5"/>
          <cell r="R5"/>
          <cell r="S5"/>
          <cell r="T5"/>
          <cell r="U5"/>
          <cell r="V5"/>
          <cell r="W5"/>
          <cell r="X5"/>
          <cell r="Y5"/>
          <cell r="Z5"/>
          <cell r="AA5"/>
          <cell r="AB5"/>
          <cell r="AC5"/>
          <cell r="AD5"/>
          <cell r="AE5"/>
          <cell r="AF5"/>
          <cell r="AG5"/>
          <cell r="AH5"/>
          <cell r="AI5"/>
          <cell r="AJ5"/>
          <cell r="AK5"/>
        </row>
        <row r="6">
          <cell r="A6" t="str">
            <v>Locations</v>
          </cell>
          <cell r="B6">
            <v>2</v>
          </cell>
          <cell r="C6">
            <v>2</v>
          </cell>
          <cell r="D6">
            <v>2</v>
          </cell>
          <cell r="E6">
            <v>2</v>
          </cell>
          <cell r="F6">
            <v>2</v>
          </cell>
          <cell r="G6">
            <v>2</v>
          </cell>
          <cell r="H6">
            <v>2</v>
          </cell>
          <cell r="I6">
            <v>2</v>
          </cell>
          <cell r="J6">
            <v>2</v>
          </cell>
          <cell r="K6"/>
          <cell r="L6"/>
          <cell r="M6"/>
          <cell r="N6"/>
          <cell r="O6"/>
          <cell r="P6"/>
          <cell r="Q6"/>
          <cell r="R6"/>
          <cell r="S6"/>
          <cell r="T6"/>
          <cell r="U6"/>
          <cell r="V6"/>
          <cell r="W6"/>
          <cell r="X6"/>
          <cell r="Y6"/>
          <cell r="Z6"/>
          <cell r="AA6"/>
          <cell r="AB6"/>
          <cell r="AC6"/>
          <cell r="AD6"/>
          <cell r="AE6"/>
          <cell r="AF6"/>
          <cell r="AG6"/>
          <cell r="AH6"/>
          <cell r="AI6"/>
          <cell r="AJ6"/>
          <cell r="AK6"/>
        </row>
        <row r="7">
          <cell r="A7" t="str">
            <v>Exam Rooms</v>
          </cell>
          <cell r="B7">
            <v>4</v>
          </cell>
          <cell r="C7">
            <v>4</v>
          </cell>
          <cell r="D7">
            <v>4</v>
          </cell>
          <cell r="E7">
            <v>4</v>
          </cell>
          <cell r="F7">
            <v>4</v>
          </cell>
          <cell r="G7">
            <v>5</v>
          </cell>
          <cell r="H7">
            <v>5</v>
          </cell>
          <cell r="I7">
            <v>5</v>
          </cell>
          <cell r="J7">
            <v>5</v>
          </cell>
          <cell r="K7"/>
          <cell r="L7"/>
          <cell r="M7"/>
          <cell r="N7"/>
          <cell r="O7"/>
          <cell r="P7"/>
          <cell r="Q7"/>
          <cell r="R7"/>
          <cell r="S7"/>
          <cell r="T7"/>
          <cell r="U7"/>
          <cell r="V7"/>
          <cell r="W7"/>
          <cell r="X7"/>
          <cell r="Y7"/>
          <cell r="Z7"/>
          <cell r="AA7"/>
          <cell r="AB7"/>
          <cell r="AC7"/>
          <cell r="AD7"/>
          <cell r="AE7"/>
          <cell r="AF7"/>
          <cell r="AG7"/>
          <cell r="AH7"/>
          <cell r="AI7"/>
          <cell r="AJ7"/>
          <cell r="AK7"/>
        </row>
        <row r="8">
          <cell r="A8" t="str">
            <v>Medical Staff</v>
          </cell>
          <cell r="B8">
            <v>17</v>
          </cell>
          <cell r="C8">
            <v>17</v>
          </cell>
          <cell r="D8">
            <v>17</v>
          </cell>
          <cell r="E8">
            <v>17</v>
          </cell>
          <cell r="F8">
            <v>16</v>
          </cell>
          <cell r="G8">
            <v>16</v>
          </cell>
          <cell r="H8">
            <v>16</v>
          </cell>
          <cell r="I8">
            <v>17</v>
          </cell>
          <cell r="J8">
            <v>17</v>
          </cell>
          <cell r="K8"/>
          <cell r="L8"/>
          <cell r="M8"/>
          <cell r="N8"/>
          <cell r="O8"/>
          <cell r="P8"/>
          <cell r="Q8"/>
          <cell r="R8"/>
          <cell r="S8"/>
          <cell r="T8"/>
          <cell r="U8"/>
          <cell r="V8"/>
          <cell r="W8"/>
          <cell r="X8"/>
          <cell r="Y8"/>
          <cell r="Z8"/>
          <cell r="AA8"/>
          <cell r="AB8"/>
          <cell r="AC8"/>
          <cell r="AD8"/>
          <cell r="AE8"/>
          <cell r="AF8"/>
          <cell r="AG8"/>
          <cell r="AH8"/>
          <cell r="AI8"/>
          <cell r="AJ8"/>
          <cell r="AK8"/>
        </row>
        <row r="9">
          <cell r="A9" t="str">
            <v>Providers</v>
          </cell>
          <cell r="B9">
            <v>6</v>
          </cell>
          <cell r="C9">
            <v>6</v>
          </cell>
          <cell r="D9">
            <v>7</v>
          </cell>
          <cell r="E9">
            <v>7</v>
          </cell>
          <cell r="F9">
            <v>7</v>
          </cell>
          <cell r="G9">
            <v>5</v>
          </cell>
          <cell r="H9">
            <v>8</v>
          </cell>
          <cell r="I9">
            <v>8</v>
          </cell>
          <cell r="J9">
            <v>9</v>
          </cell>
          <cell r="K9"/>
          <cell r="L9"/>
          <cell r="M9"/>
          <cell r="N9"/>
          <cell r="O9"/>
          <cell r="P9"/>
          <cell r="Q9"/>
          <cell r="R9"/>
          <cell r="S9"/>
          <cell r="T9"/>
          <cell r="U9"/>
          <cell r="V9"/>
          <cell r="W9"/>
          <cell r="X9"/>
          <cell r="Y9"/>
          <cell r="Z9"/>
          <cell r="AA9"/>
          <cell r="AB9"/>
          <cell r="AC9"/>
          <cell r="AD9"/>
          <cell r="AE9"/>
          <cell r="AF9"/>
          <cell r="AG9"/>
          <cell r="AH9"/>
          <cell r="AI9"/>
          <cell r="AJ9"/>
          <cell r="AK9"/>
        </row>
        <row r="10">
          <cell r="A10" t="str">
            <v>Available Hours</v>
          </cell>
          <cell r="B10">
            <v>806</v>
          </cell>
          <cell r="C10">
            <v>775</v>
          </cell>
          <cell r="D10">
            <v>1010</v>
          </cell>
          <cell r="E10">
            <v>1010</v>
          </cell>
          <cell r="F10">
            <v>1010</v>
          </cell>
          <cell r="G10">
            <v>994</v>
          </cell>
          <cell r="H10">
            <v>1164</v>
          </cell>
          <cell r="I10">
            <v>1164</v>
          </cell>
          <cell r="J10">
            <v>1121</v>
          </cell>
          <cell r="K10"/>
          <cell r="L10"/>
          <cell r="M10"/>
          <cell r="N10"/>
          <cell r="O10"/>
          <cell r="P10"/>
          <cell r="Q10"/>
          <cell r="R10"/>
          <cell r="S10"/>
          <cell r="T10"/>
          <cell r="U10"/>
          <cell r="V10"/>
          <cell r="W10"/>
          <cell r="X10"/>
          <cell r="Y10"/>
          <cell r="Z10"/>
          <cell r="AA10"/>
          <cell r="AB10"/>
          <cell r="AC10"/>
          <cell r="AD10"/>
          <cell r="AE10"/>
          <cell r="AF10"/>
          <cell r="AG10"/>
          <cell r="AH10"/>
          <cell r="AI10"/>
          <cell r="AJ10"/>
          <cell r="AK10"/>
        </row>
        <row r="11">
          <cell r="A11" t="str">
            <v>Patients</v>
          </cell>
          <cell r="B11">
            <v>420</v>
          </cell>
          <cell r="C11">
            <v>436</v>
          </cell>
          <cell r="D11">
            <v>478</v>
          </cell>
          <cell r="E11">
            <v>481</v>
          </cell>
          <cell r="F11">
            <v>469</v>
          </cell>
          <cell r="G11">
            <v>465</v>
          </cell>
          <cell r="H11">
            <v>522</v>
          </cell>
          <cell r="I11">
            <v>554</v>
          </cell>
          <cell r="J11">
            <v>491</v>
          </cell>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row>
        <row r="12">
          <cell r="A12" t="str">
            <v>Visits</v>
          </cell>
          <cell r="B12">
            <v>609</v>
          </cell>
          <cell r="C12">
            <v>569</v>
          </cell>
          <cell r="D12">
            <v>637</v>
          </cell>
          <cell r="E12">
            <v>637</v>
          </cell>
          <cell r="F12">
            <v>643</v>
          </cell>
          <cell r="G12">
            <v>611</v>
          </cell>
          <cell r="H12">
            <v>670</v>
          </cell>
          <cell r="I12">
            <v>718</v>
          </cell>
          <cell r="J12">
            <v>651</v>
          </cell>
          <cell r="K12"/>
          <cell r="L12"/>
          <cell r="M12"/>
          <cell r="N12"/>
          <cell r="O12"/>
          <cell r="P12"/>
          <cell r="Q12"/>
          <cell r="R12"/>
          <cell r="S12"/>
          <cell r="T12"/>
          <cell r="U12"/>
          <cell r="V12"/>
          <cell r="W12"/>
          <cell r="X12"/>
          <cell r="Y12"/>
          <cell r="Z12"/>
          <cell r="AA12"/>
          <cell r="AB12"/>
          <cell r="AC12"/>
          <cell r="AD12"/>
          <cell r="AE12"/>
          <cell r="AF12"/>
          <cell r="AG12"/>
          <cell r="AH12"/>
          <cell r="AI12"/>
          <cell r="AJ12"/>
          <cell r="AK12"/>
        </row>
        <row r="13">
          <cell r="A13" t="str">
            <v>Procedures</v>
          </cell>
          <cell r="B13">
            <v>2606</v>
          </cell>
          <cell r="C13">
            <v>2279</v>
          </cell>
          <cell r="D13">
            <v>2527</v>
          </cell>
          <cell r="E13">
            <v>2831</v>
          </cell>
          <cell r="F13">
            <v>3081</v>
          </cell>
          <cell r="G13">
            <v>2989</v>
          </cell>
          <cell r="H13">
            <v>3392</v>
          </cell>
          <cell r="I13">
            <v>3730</v>
          </cell>
          <cell r="J13">
            <v>3524</v>
          </cell>
          <cell r="K13"/>
          <cell r="L13"/>
          <cell r="M13"/>
          <cell r="N13"/>
          <cell r="O13"/>
          <cell r="P13"/>
          <cell r="Q13"/>
          <cell r="R13"/>
          <cell r="S13"/>
          <cell r="T13"/>
          <cell r="U13"/>
          <cell r="V13"/>
          <cell r="W13"/>
          <cell r="X13"/>
          <cell r="Y13"/>
          <cell r="Z13"/>
          <cell r="AA13"/>
          <cell r="AB13"/>
          <cell r="AC13"/>
          <cell r="AD13"/>
          <cell r="AE13"/>
          <cell r="AF13"/>
          <cell r="AG13"/>
          <cell r="AH13"/>
          <cell r="AI13"/>
          <cell r="AJ13"/>
          <cell r="AK13"/>
        </row>
        <row r="14">
          <cell r="A14" t="str">
            <v>Net Revenue</v>
          </cell>
          <cell r="B14">
            <v>1275902.9100000001</v>
          </cell>
          <cell r="C14">
            <v>1126150.08</v>
          </cell>
          <cell r="D14">
            <v>1848023.99</v>
          </cell>
          <cell r="E14">
            <v>1186367.0899999999</v>
          </cell>
          <cell r="F14">
            <v>1271097.17</v>
          </cell>
          <cell r="G14">
            <v>1064037.1800000002</v>
          </cell>
          <cell r="H14">
            <v>1108964.92</v>
          </cell>
          <cell r="I14">
            <v>1213644.17</v>
          </cell>
          <cell r="J14">
            <v>1022427</v>
          </cell>
          <cell r="K14"/>
          <cell r="L14"/>
          <cell r="M14"/>
          <cell r="N14"/>
          <cell r="O14"/>
          <cell r="P14"/>
          <cell r="Q14"/>
          <cell r="R14"/>
          <cell r="S14"/>
          <cell r="T14"/>
          <cell r="U14"/>
          <cell r="V14"/>
          <cell r="W14"/>
          <cell r="X14"/>
          <cell r="Y14"/>
          <cell r="Z14"/>
          <cell r="AA14"/>
          <cell r="AB14"/>
          <cell r="AC14"/>
          <cell r="AD14"/>
          <cell r="AE14"/>
          <cell r="AF14"/>
          <cell r="AG14"/>
          <cell r="AH14"/>
          <cell r="AI14"/>
          <cell r="AJ14"/>
          <cell r="AK14"/>
        </row>
        <row r="15">
          <cell r="A15" t="str">
            <v>Gross Profit</v>
          </cell>
          <cell r="B15">
            <v>1275902.9100000001</v>
          </cell>
          <cell r="C15">
            <v>1126150.08</v>
          </cell>
          <cell r="D15">
            <v>1848023.99</v>
          </cell>
          <cell r="E15">
            <v>1186367.0899999999</v>
          </cell>
          <cell r="F15">
            <v>1271097.17</v>
          </cell>
          <cell r="G15">
            <v>1064037.1800000002</v>
          </cell>
          <cell r="H15">
            <v>1108964.92</v>
          </cell>
          <cell r="I15">
            <v>1213644.17</v>
          </cell>
          <cell r="J15">
            <v>1022427</v>
          </cell>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row>
        <row r="16">
          <cell r="A16" t="str">
            <v>EBITDA</v>
          </cell>
          <cell r="B16">
            <v>725730.30000000016</v>
          </cell>
          <cell r="C16">
            <v>549518.73999999987</v>
          </cell>
          <cell r="D16">
            <v>628601.83000000007</v>
          </cell>
          <cell r="E16">
            <v>1068795.79</v>
          </cell>
          <cell r="F16">
            <v>694056.27000000025</v>
          </cell>
          <cell r="G16">
            <v>1252709.1900000002</v>
          </cell>
          <cell r="H16">
            <v>431246.54000000004</v>
          </cell>
          <cell r="I16">
            <v>575042.18000000017</v>
          </cell>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row>
        <row r="17">
          <cell r="A17" t="str">
            <v>Net Income</v>
          </cell>
          <cell r="B17">
            <v>706866.8600000001</v>
          </cell>
          <cell r="C17">
            <v>535660.23999999987</v>
          </cell>
          <cell r="D17">
            <v>614717.33000000007</v>
          </cell>
          <cell r="E17">
            <v>1054843.2899999998</v>
          </cell>
          <cell r="F17">
            <v>680066.77000000025</v>
          </cell>
          <cell r="G17">
            <v>452574.01</v>
          </cell>
          <cell r="H17">
            <v>416451.04000000004</v>
          </cell>
          <cell r="I17">
            <v>503950.68000000011</v>
          </cell>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row>
        <row r="18">
          <cell r="A18" t="str">
            <v>Cash Flow From Operations</v>
          </cell>
          <cell r="B18">
            <v>-299745.10000000009</v>
          </cell>
          <cell r="C18">
            <v>629228.67000000016</v>
          </cell>
          <cell r="D18">
            <v>55413.47999999996</v>
          </cell>
          <cell r="E18">
            <v>857016.35000000009</v>
          </cell>
          <cell r="F18">
            <v>571397.74000000011</v>
          </cell>
          <cell r="G18">
            <v>184891.25000000012</v>
          </cell>
          <cell r="H18">
            <v>312242.76</v>
          </cell>
          <cell r="I18">
            <v>55713.980000000032</v>
          </cell>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row>
        <row r="19">
          <cell r="A19" t="str">
            <v>Free Cash Flow</v>
          </cell>
          <cell r="B19">
            <v>771479.09999999986</v>
          </cell>
          <cell r="C19">
            <v>612809.65000000014</v>
          </cell>
          <cell r="D19">
            <v>-3853.3000000000393</v>
          </cell>
          <cell r="E19">
            <v>575536.65000000014</v>
          </cell>
          <cell r="F19">
            <v>558687.79000000015</v>
          </cell>
          <cell r="G19">
            <v>83585.640000000116</v>
          </cell>
          <cell r="H19">
            <v>279166.53000000003</v>
          </cell>
          <cell r="I19">
            <v>28667.990000000013</v>
          </cell>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row>
        <row r="20">
          <cell r="A20" t="str">
            <v>Cash Balance</v>
          </cell>
          <cell r="B20">
            <v>2521479.0999999996</v>
          </cell>
          <cell r="C20">
            <v>3134288.75</v>
          </cell>
          <cell r="D20">
            <v>3130435.45</v>
          </cell>
          <cell r="E20">
            <v>3705972.1000000006</v>
          </cell>
          <cell r="F20">
            <v>4264659.8900000006</v>
          </cell>
          <cell r="G20">
            <v>4348245.53</v>
          </cell>
          <cell r="H20">
            <v>4627412.0600000005</v>
          </cell>
          <cell r="I20">
            <v>4656080.0500000007</v>
          </cell>
          <cell r="J20">
            <v>4656080.0500000007</v>
          </cell>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row>
      </sheetData>
      <sheetData sheetId="5"/>
      <sheetData sheetId="6">
        <row r="4">
          <cell r="F4">
            <v>230000</v>
          </cell>
          <cell r="H4"/>
          <cell r="I4"/>
          <cell r="L4"/>
          <cell r="M4"/>
          <cell r="N4"/>
          <cell r="O4">
            <v>20700</v>
          </cell>
          <cell r="R4">
            <v>250700</v>
          </cell>
        </row>
        <row r="5">
          <cell r="F5">
            <v>210000</v>
          </cell>
          <cell r="H5"/>
          <cell r="I5"/>
          <cell r="L5"/>
          <cell r="M5"/>
          <cell r="N5"/>
          <cell r="O5">
            <v>18900</v>
          </cell>
          <cell r="R5">
            <v>228900</v>
          </cell>
        </row>
        <row r="6">
          <cell r="F6">
            <v>195000</v>
          </cell>
          <cell r="H6"/>
          <cell r="I6"/>
          <cell r="L6"/>
          <cell r="M6"/>
          <cell r="N6"/>
          <cell r="O6">
            <v>17550</v>
          </cell>
          <cell r="R6">
            <v>212550</v>
          </cell>
        </row>
        <row r="7">
          <cell r="F7">
            <v>195000</v>
          </cell>
          <cell r="H7"/>
          <cell r="I7"/>
          <cell r="L7"/>
          <cell r="M7"/>
          <cell r="N7"/>
          <cell r="O7">
            <v>17550</v>
          </cell>
          <cell r="R7">
            <v>212550</v>
          </cell>
        </row>
        <row r="8">
          <cell r="F8">
            <v>50000</v>
          </cell>
          <cell r="H8"/>
          <cell r="I8"/>
          <cell r="L8"/>
          <cell r="M8"/>
          <cell r="N8"/>
          <cell r="O8">
            <v>4500</v>
          </cell>
          <cell r="R8">
            <v>54500</v>
          </cell>
        </row>
        <row r="9">
          <cell r="F9">
            <v>36000</v>
          </cell>
          <cell r="H9"/>
          <cell r="I9"/>
          <cell r="L9"/>
          <cell r="M9"/>
          <cell r="N9"/>
          <cell r="O9">
            <v>3240</v>
          </cell>
          <cell r="R9">
            <v>39240</v>
          </cell>
        </row>
        <row r="10">
          <cell r="F10">
            <v>150000</v>
          </cell>
          <cell r="H10"/>
          <cell r="I10"/>
          <cell r="L10"/>
          <cell r="M10"/>
          <cell r="N10"/>
          <cell r="O10">
            <v>13500</v>
          </cell>
          <cell r="R10">
            <v>163500</v>
          </cell>
        </row>
        <row r="11">
          <cell r="F11">
            <v>120000</v>
          </cell>
          <cell r="H11"/>
          <cell r="I11"/>
          <cell r="L11"/>
          <cell r="M11"/>
          <cell r="N11"/>
          <cell r="O11">
            <v>10800</v>
          </cell>
          <cell r="R11">
            <v>130800</v>
          </cell>
        </row>
        <row r="12">
          <cell r="F12">
            <v>60000</v>
          </cell>
          <cell r="H12"/>
          <cell r="I12"/>
          <cell r="L12"/>
          <cell r="M12"/>
          <cell r="N12"/>
          <cell r="O12">
            <v>5400</v>
          </cell>
          <cell r="R12">
            <v>65400</v>
          </cell>
        </row>
        <row r="13">
          <cell r="F13">
            <v>48750</v>
          </cell>
          <cell r="H13"/>
          <cell r="I13"/>
          <cell r="L13"/>
          <cell r="M13"/>
          <cell r="N13"/>
          <cell r="O13">
            <v>4387.5</v>
          </cell>
          <cell r="R13">
            <v>53137.5</v>
          </cell>
        </row>
        <row r="14">
          <cell r="F14">
            <v>50000</v>
          </cell>
          <cell r="H14"/>
          <cell r="I14"/>
          <cell r="L14"/>
          <cell r="M14"/>
          <cell r="N14"/>
          <cell r="O14">
            <v>4500</v>
          </cell>
          <cell r="R14">
            <v>54500</v>
          </cell>
        </row>
        <row r="15">
          <cell r="F15">
            <v>0</v>
          </cell>
          <cell r="H15"/>
          <cell r="I15"/>
          <cell r="L15"/>
          <cell r="M15"/>
          <cell r="N15"/>
          <cell r="O15">
            <v>0</v>
          </cell>
          <cell r="R15">
            <v>0</v>
          </cell>
        </row>
        <row r="16">
          <cell r="F16">
            <v>0</v>
          </cell>
          <cell r="H16"/>
          <cell r="I16"/>
          <cell r="L16"/>
          <cell r="M16"/>
          <cell r="N16"/>
          <cell r="O16">
            <v>0</v>
          </cell>
          <cell r="R16">
            <v>0</v>
          </cell>
        </row>
        <row r="17">
          <cell r="F17">
            <v>48750</v>
          </cell>
          <cell r="H17"/>
          <cell r="I17"/>
          <cell r="L17"/>
          <cell r="M17"/>
          <cell r="N17"/>
          <cell r="O17">
            <v>4387.5</v>
          </cell>
          <cell r="R17">
            <v>53137.5</v>
          </cell>
        </row>
        <row r="18">
          <cell r="F18">
            <v>72000</v>
          </cell>
          <cell r="H18"/>
          <cell r="I18"/>
          <cell r="L18"/>
          <cell r="M18"/>
          <cell r="N18"/>
          <cell r="O18">
            <v>6480</v>
          </cell>
          <cell r="R18">
            <v>78480</v>
          </cell>
        </row>
        <row r="19">
          <cell r="F19"/>
          <cell r="H19">
            <v>2000</v>
          </cell>
          <cell r="I19">
            <v>40</v>
          </cell>
          <cell r="L19"/>
          <cell r="M19"/>
          <cell r="N19"/>
          <cell r="O19">
            <v>7200</v>
          </cell>
          <cell r="R19">
            <v>87200</v>
          </cell>
        </row>
        <row r="20">
          <cell r="F20"/>
          <cell r="H20">
            <v>2000</v>
          </cell>
          <cell r="I20">
            <v>22</v>
          </cell>
          <cell r="L20"/>
          <cell r="M20"/>
          <cell r="N20"/>
          <cell r="O20">
            <v>3960</v>
          </cell>
          <cell r="R20">
            <v>47960</v>
          </cell>
        </row>
        <row r="21">
          <cell r="F21"/>
          <cell r="H21">
            <v>2000</v>
          </cell>
          <cell r="I21">
            <v>22</v>
          </cell>
          <cell r="L21"/>
          <cell r="M21"/>
          <cell r="N21"/>
          <cell r="O21">
            <v>3960</v>
          </cell>
          <cell r="R21">
            <v>47960</v>
          </cell>
        </row>
        <row r="22">
          <cell r="F22"/>
          <cell r="H22">
            <v>2000</v>
          </cell>
          <cell r="I22">
            <v>22</v>
          </cell>
          <cell r="L22"/>
          <cell r="M22"/>
          <cell r="N22"/>
          <cell r="O22">
            <v>3960</v>
          </cell>
          <cell r="R22">
            <v>47960</v>
          </cell>
        </row>
        <row r="23">
          <cell r="F23"/>
          <cell r="H23">
            <v>2000</v>
          </cell>
          <cell r="I23">
            <v>20</v>
          </cell>
          <cell r="L23"/>
          <cell r="M23"/>
          <cell r="N23"/>
          <cell r="O23">
            <v>3600</v>
          </cell>
          <cell r="R23">
            <v>43600</v>
          </cell>
        </row>
        <row r="24">
          <cell r="F24"/>
          <cell r="H24">
            <v>2000</v>
          </cell>
          <cell r="I24">
            <v>20</v>
          </cell>
          <cell r="L24"/>
          <cell r="M24"/>
          <cell r="N24"/>
          <cell r="O24">
            <v>3600</v>
          </cell>
          <cell r="R24">
            <v>43600</v>
          </cell>
        </row>
        <row r="25">
          <cell r="F25"/>
          <cell r="H25">
            <v>2000</v>
          </cell>
          <cell r="I25">
            <v>20</v>
          </cell>
          <cell r="L25"/>
          <cell r="M25"/>
          <cell r="N25"/>
          <cell r="O25">
            <v>3600</v>
          </cell>
          <cell r="R25">
            <v>43600</v>
          </cell>
        </row>
        <row r="26">
          <cell r="F26"/>
          <cell r="H26">
            <v>2000</v>
          </cell>
          <cell r="I26">
            <v>20</v>
          </cell>
          <cell r="L26"/>
          <cell r="M26"/>
          <cell r="N26"/>
          <cell r="O26">
            <v>3600</v>
          </cell>
          <cell r="R26">
            <v>43600</v>
          </cell>
        </row>
        <row r="27">
          <cell r="F27"/>
          <cell r="H27">
            <v>2000</v>
          </cell>
          <cell r="I27">
            <v>20</v>
          </cell>
          <cell r="L27"/>
          <cell r="M27"/>
          <cell r="N27"/>
          <cell r="O27">
            <v>3600</v>
          </cell>
          <cell r="R27">
            <v>43600</v>
          </cell>
        </row>
        <row r="28">
          <cell r="F28"/>
          <cell r="H28">
            <v>2000</v>
          </cell>
          <cell r="I28">
            <v>20</v>
          </cell>
          <cell r="L28"/>
          <cell r="M28"/>
          <cell r="N28"/>
          <cell r="O28">
            <v>3600</v>
          </cell>
          <cell r="R28">
            <v>43600</v>
          </cell>
        </row>
        <row r="29">
          <cell r="F29"/>
          <cell r="H29">
            <v>2000</v>
          </cell>
          <cell r="I29">
            <v>20</v>
          </cell>
          <cell r="L29"/>
          <cell r="M29"/>
          <cell r="N29"/>
          <cell r="O29">
            <v>3600</v>
          </cell>
          <cell r="R29">
            <v>43600</v>
          </cell>
        </row>
        <row r="30">
          <cell r="F30"/>
          <cell r="H30">
            <v>2000</v>
          </cell>
          <cell r="I30">
            <v>28</v>
          </cell>
          <cell r="L30"/>
          <cell r="M30"/>
          <cell r="N30"/>
          <cell r="O30">
            <v>5040</v>
          </cell>
          <cell r="R30">
            <v>61040</v>
          </cell>
        </row>
        <row r="31">
          <cell r="F31"/>
          <cell r="H31">
            <v>2000</v>
          </cell>
          <cell r="I31">
            <v>30</v>
          </cell>
          <cell r="L31"/>
          <cell r="M31"/>
          <cell r="N31"/>
          <cell r="O31">
            <v>5400</v>
          </cell>
          <cell r="R31">
            <v>65400</v>
          </cell>
        </row>
        <row r="32">
          <cell r="F32"/>
          <cell r="H32">
            <v>2000</v>
          </cell>
          <cell r="I32">
            <v>28</v>
          </cell>
          <cell r="L32"/>
          <cell r="M32"/>
          <cell r="N32"/>
          <cell r="O32">
            <v>5040</v>
          </cell>
          <cell r="R32">
            <v>61040</v>
          </cell>
        </row>
        <row r="33">
          <cell r="F33"/>
          <cell r="H33">
            <v>2000</v>
          </cell>
          <cell r="I33">
            <v>28</v>
          </cell>
          <cell r="L33"/>
          <cell r="M33"/>
          <cell r="N33"/>
          <cell r="O33">
            <v>5040</v>
          </cell>
          <cell r="R33">
            <v>61040</v>
          </cell>
        </row>
        <row r="34">
          <cell r="F34"/>
          <cell r="H34">
            <v>2000</v>
          </cell>
          <cell r="I34">
            <v>28</v>
          </cell>
          <cell r="L34"/>
          <cell r="M34"/>
          <cell r="N34"/>
          <cell r="O34">
            <v>5040</v>
          </cell>
          <cell r="R34">
            <v>61040</v>
          </cell>
        </row>
        <row r="35">
          <cell r="F35">
            <v>120000</v>
          </cell>
          <cell r="H35"/>
          <cell r="I35"/>
          <cell r="L35"/>
          <cell r="M35"/>
          <cell r="N35"/>
          <cell r="O35">
            <v>10800</v>
          </cell>
          <cell r="R35">
            <v>130800</v>
          </cell>
        </row>
        <row r="36">
          <cell r="F36"/>
          <cell r="H36">
            <v>2000</v>
          </cell>
          <cell r="I36">
            <v>20</v>
          </cell>
          <cell r="L36"/>
          <cell r="M36"/>
          <cell r="N36"/>
          <cell r="O36">
            <v>3600</v>
          </cell>
          <cell r="R36">
            <v>43600</v>
          </cell>
        </row>
        <row r="37">
          <cell r="F37"/>
          <cell r="H37">
            <v>2000</v>
          </cell>
          <cell r="I37">
            <v>22</v>
          </cell>
          <cell r="L37"/>
          <cell r="M37"/>
          <cell r="N37"/>
          <cell r="O37">
            <v>3960</v>
          </cell>
          <cell r="R37">
            <v>47960</v>
          </cell>
        </row>
        <row r="38">
          <cell r="F38"/>
          <cell r="H38">
            <v>2000</v>
          </cell>
          <cell r="I38">
            <v>20</v>
          </cell>
          <cell r="L38"/>
          <cell r="M38"/>
          <cell r="N38"/>
          <cell r="O38">
            <v>3600</v>
          </cell>
          <cell r="R38">
            <v>43600</v>
          </cell>
        </row>
        <row r="39">
          <cell r="F39"/>
          <cell r="H39">
            <v>2000</v>
          </cell>
          <cell r="I39">
            <v>20</v>
          </cell>
          <cell r="L39"/>
          <cell r="M39"/>
          <cell r="N39"/>
          <cell r="O39">
            <v>3600</v>
          </cell>
          <cell r="R39">
            <v>43600</v>
          </cell>
        </row>
        <row r="40">
          <cell r="F40"/>
          <cell r="H40">
            <v>2000</v>
          </cell>
          <cell r="I40">
            <v>19</v>
          </cell>
          <cell r="L40"/>
          <cell r="M40"/>
          <cell r="N40"/>
          <cell r="O40">
            <v>3420</v>
          </cell>
          <cell r="R40">
            <v>41420</v>
          </cell>
        </row>
        <row r="41">
          <cell r="F41">
            <v>55000</v>
          </cell>
          <cell r="H41"/>
          <cell r="I41"/>
          <cell r="L41"/>
          <cell r="M41"/>
          <cell r="N41"/>
          <cell r="O41">
            <v>4950</v>
          </cell>
          <cell r="R41">
            <v>59950</v>
          </cell>
        </row>
        <row r="42">
          <cell r="F42"/>
          <cell r="H42">
            <v>2000</v>
          </cell>
          <cell r="I42">
            <v>18</v>
          </cell>
          <cell r="L42"/>
          <cell r="M42"/>
          <cell r="N42"/>
          <cell r="O42">
            <v>3240</v>
          </cell>
          <cell r="R42">
            <v>39240</v>
          </cell>
        </row>
        <row r="43">
          <cell r="F43">
            <v>320000</v>
          </cell>
          <cell r="H43"/>
          <cell r="I43"/>
          <cell r="L43"/>
          <cell r="M43">
            <v>125000</v>
          </cell>
          <cell r="N43"/>
          <cell r="O43">
            <v>28800</v>
          </cell>
          <cell r="R43">
            <v>473800</v>
          </cell>
        </row>
        <row r="44">
          <cell r="F44">
            <v>280000</v>
          </cell>
          <cell r="H44"/>
          <cell r="I44"/>
          <cell r="L44"/>
          <cell r="M44">
            <v>125000</v>
          </cell>
          <cell r="N44"/>
          <cell r="O44">
            <v>25200</v>
          </cell>
          <cell r="R44">
            <v>430200</v>
          </cell>
        </row>
        <row r="45">
          <cell r="F45">
            <v>280000</v>
          </cell>
          <cell r="H45"/>
          <cell r="I45"/>
          <cell r="L45"/>
          <cell r="M45">
            <v>125000</v>
          </cell>
          <cell r="N45"/>
          <cell r="O45">
            <v>25200</v>
          </cell>
          <cell r="R45">
            <v>430200</v>
          </cell>
        </row>
        <row r="46">
          <cell r="F46">
            <v>240000</v>
          </cell>
          <cell r="H46"/>
          <cell r="I46"/>
          <cell r="L46"/>
          <cell r="M46">
            <v>125000</v>
          </cell>
          <cell r="N46"/>
          <cell r="O46">
            <v>21600</v>
          </cell>
          <cell r="R46">
            <v>386600</v>
          </cell>
        </row>
        <row r="47">
          <cell r="F47">
            <v>120000</v>
          </cell>
          <cell r="H47"/>
          <cell r="I47"/>
          <cell r="L47"/>
          <cell r="M47"/>
          <cell r="N47"/>
          <cell r="O47">
            <v>10800</v>
          </cell>
          <cell r="R47">
            <v>130800</v>
          </cell>
        </row>
        <row r="48">
          <cell r="F48">
            <v>120000</v>
          </cell>
          <cell r="H48"/>
          <cell r="I48"/>
          <cell r="L48"/>
          <cell r="M48"/>
          <cell r="N48"/>
          <cell r="O48">
            <v>10800</v>
          </cell>
          <cell r="R48">
            <v>130800</v>
          </cell>
        </row>
        <row r="49">
          <cell r="F49">
            <v>90000</v>
          </cell>
          <cell r="H49"/>
          <cell r="I49"/>
          <cell r="L49"/>
          <cell r="M49"/>
          <cell r="N49"/>
          <cell r="O49">
            <v>8100</v>
          </cell>
          <cell r="R49">
            <v>98100</v>
          </cell>
        </row>
        <row r="50">
          <cell r="F50">
            <v>126000</v>
          </cell>
          <cell r="H50"/>
          <cell r="I50"/>
          <cell r="L50"/>
          <cell r="M50"/>
          <cell r="N50"/>
          <cell r="O50">
            <v>11340</v>
          </cell>
          <cell r="R50">
            <v>137340</v>
          </cell>
        </row>
        <row r="51">
          <cell r="F51">
            <v>400000</v>
          </cell>
          <cell r="H51"/>
          <cell r="I51"/>
          <cell r="L51"/>
          <cell r="M51">
            <v>50000</v>
          </cell>
          <cell r="N51"/>
          <cell r="O51">
            <v>36000</v>
          </cell>
          <cell r="R51">
            <v>486000</v>
          </cell>
        </row>
        <row r="52">
          <cell r="F52">
            <v>96000</v>
          </cell>
          <cell r="H52"/>
          <cell r="I52"/>
          <cell r="L52"/>
          <cell r="M52"/>
          <cell r="N52"/>
          <cell r="O52">
            <v>8640</v>
          </cell>
          <cell r="R52">
            <v>104640</v>
          </cell>
        </row>
        <row r="53">
          <cell r="F53">
            <v>96000</v>
          </cell>
          <cell r="H53"/>
          <cell r="I53"/>
          <cell r="L53"/>
          <cell r="M53"/>
          <cell r="N53"/>
          <cell r="O53">
            <v>8640</v>
          </cell>
          <cell r="R53">
            <v>104640</v>
          </cell>
        </row>
        <row r="54">
          <cell r="F54">
            <v>96000</v>
          </cell>
          <cell r="H54"/>
          <cell r="I54"/>
          <cell r="L54"/>
          <cell r="M54"/>
          <cell r="N54"/>
          <cell r="O54">
            <v>8640</v>
          </cell>
          <cell r="R54">
            <v>104640</v>
          </cell>
        </row>
        <row r="55">
          <cell r="F55">
            <v>120000</v>
          </cell>
          <cell r="H55"/>
          <cell r="I55"/>
          <cell r="L55"/>
          <cell r="M55"/>
          <cell r="N55"/>
          <cell r="O55">
            <v>10800</v>
          </cell>
          <cell r="R55">
            <v>130800</v>
          </cell>
        </row>
        <row r="56">
          <cell r="F56">
            <v>90000</v>
          </cell>
          <cell r="H56"/>
          <cell r="I56"/>
          <cell r="L56"/>
          <cell r="M56"/>
          <cell r="N56"/>
          <cell r="O56">
            <v>8100</v>
          </cell>
          <cell r="R56">
            <v>98100</v>
          </cell>
        </row>
        <row r="57">
          <cell r="F57">
            <v>40000</v>
          </cell>
          <cell r="H57"/>
          <cell r="I57"/>
          <cell r="L57"/>
          <cell r="M57"/>
          <cell r="N57"/>
          <cell r="O57">
            <v>3600</v>
          </cell>
          <cell r="R57">
            <v>43600</v>
          </cell>
        </row>
        <row r="58">
          <cell r="F58">
            <v>6000</v>
          </cell>
          <cell r="H58"/>
          <cell r="I58"/>
          <cell r="L58"/>
          <cell r="M58"/>
          <cell r="N58"/>
          <cell r="O58">
            <v>540</v>
          </cell>
          <cell r="R58">
            <v>6540</v>
          </cell>
        </row>
        <row r="59">
          <cell r="F59"/>
          <cell r="H59"/>
          <cell r="I59"/>
          <cell r="L59"/>
          <cell r="M59"/>
          <cell r="N59"/>
          <cell r="O59">
            <v>0</v>
          </cell>
          <cell r="R59">
            <v>0</v>
          </cell>
        </row>
        <row r="60">
          <cell r="F60">
            <v>36000</v>
          </cell>
          <cell r="H60"/>
          <cell r="I60"/>
          <cell r="L60"/>
          <cell r="M60"/>
          <cell r="N60"/>
          <cell r="O60">
            <v>3240</v>
          </cell>
          <cell r="R60">
            <v>39240</v>
          </cell>
        </row>
        <row r="61">
          <cell r="F61">
            <v>90000</v>
          </cell>
          <cell r="H61"/>
          <cell r="I61"/>
          <cell r="L61"/>
          <cell r="M61"/>
          <cell r="N61"/>
          <cell r="O61">
            <v>8100</v>
          </cell>
          <cell r="R61">
            <v>98100</v>
          </cell>
        </row>
        <row r="62">
          <cell r="F62"/>
          <cell r="H62">
            <v>600</v>
          </cell>
          <cell r="I62">
            <v>20</v>
          </cell>
          <cell r="L62"/>
          <cell r="M62"/>
          <cell r="N62"/>
          <cell r="O62">
            <v>1080</v>
          </cell>
          <cell r="R62">
            <v>13080</v>
          </cell>
        </row>
        <row r="63">
          <cell r="F63">
            <v>48750</v>
          </cell>
          <cell r="H63"/>
          <cell r="I63"/>
          <cell r="L63"/>
          <cell r="M63"/>
          <cell r="N63"/>
          <cell r="O63">
            <v>4387.5</v>
          </cell>
          <cell r="R63">
            <v>53137.5</v>
          </cell>
        </row>
        <row r="64">
          <cell r="F64"/>
          <cell r="H64"/>
          <cell r="I64"/>
          <cell r="L64"/>
          <cell r="M64"/>
          <cell r="N64"/>
          <cell r="O64">
            <v>0</v>
          </cell>
          <cell r="R64">
            <v>0</v>
          </cell>
        </row>
        <row r="65">
          <cell r="F65"/>
          <cell r="H65"/>
          <cell r="I65"/>
          <cell r="L65"/>
          <cell r="M65"/>
          <cell r="N65"/>
          <cell r="O65">
            <v>0</v>
          </cell>
          <cell r="R65">
            <v>0</v>
          </cell>
        </row>
        <row r="66">
          <cell r="F66"/>
          <cell r="H66"/>
          <cell r="I66"/>
          <cell r="L66"/>
          <cell r="M66"/>
          <cell r="N66"/>
          <cell r="O66">
            <v>0</v>
          </cell>
          <cell r="R66">
            <v>0</v>
          </cell>
        </row>
        <row r="67">
          <cell r="F67"/>
          <cell r="H67"/>
          <cell r="I67"/>
          <cell r="L67"/>
          <cell r="M67"/>
          <cell r="N67"/>
          <cell r="O67">
            <v>0</v>
          </cell>
          <cell r="R67">
            <v>0</v>
          </cell>
        </row>
        <row r="68">
          <cell r="F68"/>
          <cell r="H68"/>
          <cell r="I68"/>
          <cell r="L68"/>
          <cell r="M68"/>
          <cell r="N68"/>
          <cell r="O68">
            <v>0</v>
          </cell>
          <cell r="R68">
            <v>0</v>
          </cell>
        </row>
        <row r="69">
          <cell r="F69"/>
          <cell r="H69"/>
          <cell r="I69"/>
          <cell r="L69"/>
          <cell r="M69"/>
          <cell r="N69"/>
          <cell r="O69">
            <v>0</v>
          </cell>
          <cell r="R69">
            <v>0</v>
          </cell>
        </row>
        <row r="70">
          <cell r="F70"/>
          <cell r="H70"/>
          <cell r="I70"/>
          <cell r="L70"/>
          <cell r="M70"/>
          <cell r="N70"/>
          <cell r="O70">
            <v>0</v>
          </cell>
          <cell r="R70">
            <v>0</v>
          </cell>
        </row>
        <row r="71">
          <cell r="F71"/>
          <cell r="H71"/>
          <cell r="I71"/>
          <cell r="L71"/>
          <cell r="M71"/>
          <cell r="N71"/>
          <cell r="O71">
            <v>0</v>
          </cell>
          <cell r="R71">
            <v>0</v>
          </cell>
        </row>
        <row r="72">
          <cell r="F72"/>
          <cell r="H72"/>
          <cell r="I72"/>
          <cell r="L72"/>
          <cell r="M72"/>
          <cell r="N72"/>
          <cell r="O72">
            <v>0</v>
          </cell>
          <cell r="R72">
            <v>0</v>
          </cell>
        </row>
        <row r="73">
          <cell r="F73"/>
          <cell r="H73"/>
          <cell r="I73"/>
          <cell r="L73"/>
          <cell r="M73"/>
          <cell r="N73"/>
          <cell r="O73">
            <v>0</v>
          </cell>
          <cell r="R73">
            <v>0</v>
          </cell>
        </row>
        <row r="74">
          <cell r="F74"/>
          <cell r="H74"/>
          <cell r="I74"/>
          <cell r="L74"/>
          <cell r="M74"/>
          <cell r="N74"/>
          <cell r="O74">
            <v>0</v>
          </cell>
          <cell r="R74">
            <v>0</v>
          </cell>
        </row>
        <row r="75">
          <cell r="F75"/>
          <cell r="H75"/>
          <cell r="I75"/>
          <cell r="L75"/>
          <cell r="M75"/>
          <cell r="N75"/>
          <cell r="O75">
            <v>0</v>
          </cell>
          <cell r="R75">
            <v>0</v>
          </cell>
        </row>
        <row r="76">
          <cell r="F76"/>
          <cell r="H76"/>
          <cell r="I76"/>
          <cell r="L76"/>
          <cell r="M76"/>
          <cell r="N76"/>
          <cell r="O76">
            <v>0</v>
          </cell>
          <cell r="R76">
            <v>0</v>
          </cell>
        </row>
        <row r="77">
          <cell r="F77"/>
          <cell r="H77"/>
          <cell r="I77"/>
          <cell r="L77"/>
          <cell r="M77"/>
          <cell r="N77"/>
          <cell r="O77">
            <v>0</v>
          </cell>
          <cell r="R77">
            <v>0</v>
          </cell>
        </row>
        <row r="78">
          <cell r="F78"/>
          <cell r="H78"/>
          <cell r="I78"/>
          <cell r="L78"/>
          <cell r="M78"/>
          <cell r="N78"/>
          <cell r="O78">
            <v>0</v>
          </cell>
          <cell r="R78">
            <v>0</v>
          </cell>
        </row>
        <row r="79">
          <cell r="F79"/>
          <cell r="H79"/>
          <cell r="I79"/>
          <cell r="L79"/>
          <cell r="M79"/>
          <cell r="N79"/>
          <cell r="O79">
            <v>0</v>
          </cell>
          <cell r="R79">
            <v>0</v>
          </cell>
        </row>
        <row r="80">
          <cell r="F80"/>
          <cell r="H80"/>
          <cell r="I80"/>
          <cell r="L80"/>
          <cell r="M80"/>
          <cell r="N80"/>
          <cell r="O80">
            <v>0</v>
          </cell>
          <cell r="R80">
            <v>0</v>
          </cell>
        </row>
        <row r="81">
          <cell r="F81"/>
          <cell r="H81"/>
          <cell r="I81"/>
          <cell r="L81"/>
          <cell r="M81"/>
          <cell r="N81"/>
          <cell r="O81">
            <v>0</v>
          </cell>
          <cell r="R81">
            <v>0</v>
          </cell>
        </row>
        <row r="82">
          <cell r="F82"/>
          <cell r="H82"/>
          <cell r="I82"/>
          <cell r="L82"/>
          <cell r="M82"/>
          <cell r="N82"/>
          <cell r="O82">
            <v>0</v>
          </cell>
          <cell r="R82">
            <v>0</v>
          </cell>
        </row>
        <row r="83">
          <cell r="F83"/>
          <cell r="H83"/>
          <cell r="I83"/>
          <cell r="L83"/>
          <cell r="M83"/>
          <cell r="N83"/>
          <cell r="O83">
            <v>0</v>
          </cell>
          <cell r="R83">
            <v>0</v>
          </cell>
        </row>
        <row r="84">
          <cell r="F84"/>
          <cell r="H84"/>
          <cell r="I84"/>
          <cell r="L84"/>
          <cell r="M84"/>
          <cell r="N84"/>
          <cell r="O84">
            <v>0</v>
          </cell>
          <cell r="R84">
            <v>0</v>
          </cell>
        </row>
        <row r="85">
          <cell r="F85"/>
          <cell r="H85"/>
          <cell r="I85"/>
          <cell r="L85"/>
          <cell r="M85"/>
          <cell r="N85"/>
          <cell r="O85">
            <v>0</v>
          </cell>
          <cell r="R85">
            <v>0</v>
          </cell>
        </row>
        <row r="86">
          <cell r="F86"/>
          <cell r="H86"/>
          <cell r="I86"/>
          <cell r="L86"/>
          <cell r="M86"/>
          <cell r="N86"/>
          <cell r="O86">
            <v>0</v>
          </cell>
          <cell r="R86">
            <v>0</v>
          </cell>
        </row>
        <row r="87">
          <cell r="F87"/>
          <cell r="H87"/>
          <cell r="I87"/>
          <cell r="L87"/>
          <cell r="M87"/>
          <cell r="N87"/>
          <cell r="O87">
            <v>0</v>
          </cell>
          <cell r="R87">
            <v>0</v>
          </cell>
        </row>
        <row r="88">
          <cell r="F88"/>
          <cell r="H88"/>
          <cell r="I88"/>
          <cell r="L88"/>
          <cell r="M88"/>
          <cell r="N88"/>
          <cell r="O88">
            <v>0</v>
          </cell>
          <cell r="R88">
            <v>0</v>
          </cell>
        </row>
        <row r="89">
          <cell r="F89"/>
          <cell r="H89"/>
          <cell r="I89"/>
          <cell r="L89"/>
          <cell r="M89"/>
          <cell r="N89"/>
          <cell r="O89">
            <v>0</v>
          </cell>
          <cell r="R89">
            <v>0</v>
          </cell>
        </row>
        <row r="90">
          <cell r="F90"/>
          <cell r="H90"/>
          <cell r="I90"/>
          <cell r="L90"/>
          <cell r="M90"/>
          <cell r="N90"/>
          <cell r="O90">
            <v>0</v>
          </cell>
          <cell r="R90">
            <v>0</v>
          </cell>
        </row>
        <row r="91">
          <cell r="F91"/>
          <cell r="H91"/>
          <cell r="I91"/>
          <cell r="L91"/>
          <cell r="M91"/>
          <cell r="N91"/>
          <cell r="O91">
            <v>0</v>
          </cell>
          <cell r="R91">
            <v>0</v>
          </cell>
        </row>
        <row r="92">
          <cell r="F92"/>
          <cell r="H92"/>
          <cell r="I92"/>
          <cell r="L92"/>
          <cell r="M92"/>
          <cell r="N92"/>
          <cell r="O92">
            <v>0</v>
          </cell>
          <cell r="R92">
            <v>0</v>
          </cell>
        </row>
        <row r="93">
          <cell r="F93"/>
          <cell r="H93"/>
          <cell r="I93"/>
          <cell r="L93"/>
          <cell r="M93"/>
          <cell r="N93"/>
          <cell r="O93">
            <v>0</v>
          </cell>
          <cell r="R93">
            <v>0</v>
          </cell>
        </row>
        <row r="94">
          <cell r="F94"/>
          <cell r="H94"/>
          <cell r="I94"/>
          <cell r="L94"/>
          <cell r="M94"/>
          <cell r="N94"/>
          <cell r="O94">
            <v>0</v>
          </cell>
          <cell r="R94">
            <v>0</v>
          </cell>
        </row>
        <row r="95">
          <cell r="F95"/>
          <cell r="H95"/>
          <cell r="I95"/>
          <cell r="L95"/>
          <cell r="M95"/>
          <cell r="N95"/>
          <cell r="O95">
            <v>0</v>
          </cell>
          <cell r="R95">
            <v>0</v>
          </cell>
        </row>
        <row r="96">
          <cell r="F96"/>
          <cell r="H96"/>
          <cell r="I96"/>
          <cell r="L96"/>
          <cell r="M96"/>
          <cell r="N96"/>
          <cell r="O96">
            <v>0</v>
          </cell>
          <cell r="R96">
            <v>0</v>
          </cell>
        </row>
        <row r="97">
          <cell r="F97"/>
          <cell r="H97"/>
          <cell r="I97"/>
          <cell r="L97"/>
          <cell r="M97"/>
          <cell r="N97"/>
          <cell r="O97">
            <v>0</v>
          </cell>
          <cell r="R97">
            <v>0</v>
          </cell>
        </row>
        <row r="98">
          <cell r="F98"/>
          <cell r="H98"/>
          <cell r="I98"/>
          <cell r="L98"/>
          <cell r="M98"/>
          <cell r="N98"/>
          <cell r="O98">
            <v>0</v>
          </cell>
          <cell r="R98">
            <v>0</v>
          </cell>
        </row>
        <row r="99">
          <cell r="F99"/>
          <cell r="H99"/>
          <cell r="I99"/>
          <cell r="L99"/>
          <cell r="M99"/>
          <cell r="N99"/>
          <cell r="O99">
            <v>0</v>
          </cell>
          <cell r="R99">
            <v>0</v>
          </cell>
        </row>
        <row r="100">
          <cell r="F100"/>
          <cell r="H100"/>
          <cell r="I100"/>
          <cell r="L100"/>
          <cell r="M100"/>
          <cell r="N100"/>
          <cell r="O100">
            <v>0</v>
          </cell>
          <cell r="R100">
            <v>0</v>
          </cell>
        </row>
        <row r="101">
          <cell r="F101"/>
          <cell r="H101"/>
          <cell r="I101"/>
          <cell r="L101"/>
          <cell r="M101"/>
          <cell r="N101"/>
          <cell r="O101">
            <v>0</v>
          </cell>
          <cell r="R101">
            <v>0</v>
          </cell>
        </row>
        <row r="102">
          <cell r="F102"/>
          <cell r="H102"/>
          <cell r="I102"/>
          <cell r="L102"/>
          <cell r="M102"/>
          <cell r="N102"/>
          <cell r="O102">
            <v>0</v>
          </cell>
          <cell r="R102">
            <v>0</v>
          </cell>
        </row>
        <row r="103">
          <cell r="F103"/>
          <cell r="H103"/>
          <cell r="I103"/>
          <cell r="L103"/>
          <cell r="M103"/>
          <cell r="N103"/>
          <cell r="O103">
            <v>0</v>
          </cell>
          <cell r="R103">
            <v>0</v>
          </cell>
        </row>
        <row r="104">
          <cell r="F104"/>
          <cell r="H104"/>
          <cell r="I104"/>
          <cell r="L104"/>
          <cell r="M104"/>
          <cell r="N104"/>
          <cell r="O104">
            <v>0</v>
          </cell>
          <cell r="R104">
            <v>0</v>
          </cell>
        </row>
        <row r="105">
          <cell r="F105"/>
          <cell r="H105"/>
          <cell r="I105"/>
          <cell r="L105"/>
          <cell r="M105"/>
          <cell r="N105"/>
          <cell r="O105">
            <v>0</v>
          </cell>
          <cell r="R105">
            <v>0</v>
          </cell>
        </row>
        <row r="106">
          <cell r="F106"/>
          <cell r="H106"/>
          <cell r="I106"/>
          <cell r="L106"/>
          <cell r="M106"/>
          <cell r="N106"/>
          <cell r="O106">
            <v>0</v>
          </cell>
          <cell r="R106">
            <v>0</v>
          </cell>
        </row>
        <row r="107">
          <cell r="F107"/>
          <cell r="H107"/>
          <cell r="I107"/>
          <cell r="L107"/>
          <cell r="M107"/>
          <cell r="N107"/>
          <cell r="O107">
            <v>0</v>
          </cell>
          <cell r="R107">
            <v>0</v>
          </cell>
        </row>
        <row r="108">
          <cell r="F108"/>
          <cell r="H108"/>
          <cell r="I108"/>
          <cell r="L108"/>
          <cell r="M108"/>
          <cell r="N108"/>
          <cell r="O108">
            <v>0</v>
          </cell>
          <cell r="R108">
            <v>0</v>
          </cell>
        </row>
        <row r="109">
          <cell r="F109"/>
          <cell r="H109"/>
          <cell r="I109"/>
          <cell r="L109"/>
          <cell r="M109"/>
          <cell r="N109"/>
          <cell r="O109">
            <v>0</v>
          </cell>
          <cell r="R109">
            <v>0</v>
          </cell>
        </row>
        <row r="110">
          <cell r="F110"/>
          <cell r="H110"/>
          <cell r="I110"/>
          <cell r="L110"/>
          <cell r="M110"/>
          <cell r="N110"/>
          <cell r="O110">
            <v>0</v>
          </cell>
          <cell r="R110">
            <v>0</v>
          </cell>
        </row>
        <row r="111">
          <cell r="F111"/>
          <cell r="H111"/>
          <cell r="I111"/>
          <cell r="L111"/>
          <cell r="M111"/>
          <cell r="N111"/>
          <cell r="O111">
            <v>0</v>
          </cell>
          <cell r="R111">
            <v>0</v>
          </cell>
        </row>
        <row r="112">
          <cell r="F112"/>
          <cell r="H112"/>
          <cell r="I112"/>
          <cell r="L112"/>
          <cell r="M112"/>
          <cell r="N112"/>
          <cell r="O112">
            <v>0</v>
          </cell>
          <cell r="R112">
            <v>0</v>
          </cell>
        </row>
        <row r="113">
          <cell r="F113"/>
          <cell r="H113"/>
          <cell r="I113"/>
          <cell r="L113"/>
          <cell r="M113"/>
          <cell r="N113"/>
          <cell r="O113">
            <v>0</v>
          </cell>
          <cell r="R113">
            <v>0</v>
          </cell>
        </row>
        <row r="114">
          <cell r="F114"/>
          <cell r="H114"/>
          <cell r="I114"/>
          <cell r="L114"/>
          <cell r="M114"/>
          <cell r="N114"/>
          <cell r="O114">
            <v>0</v>
          </cell>
          <cell r="R114">
            <v>0</v>
          </cell>
        </row>
        <row r="115">
          <cell r="F115"/>
          <cell r="H115"/>
          <cell r="I115"/>
          <cell r="L115"/>
          <cell r="M115"/>
          <cell r="N115"/>
          <cell r="O115">
            <v>0</v>
          </cell>
          <cell r="R115">
            <v>0</v>
          </cell>
        </row>
        <row r="116">
          <cell r="F116"/>
          <cell r="H116"/>
          <cell r="I116"/>
          <cell r="L116"/>
          <cell r="M116"/>
          <cell r="N116"/>
          <cell r="O116">
            <v>0</v>
          </cell>
          <cell r="R116">
            <v>0</v>
          </cell>
        </row>
        <row r="117">
          <cell r="F117"/>
          <cell r="H117"/>
          <cell r="I117"/>
          <cell r="L117"/>
          <cell r="M117"/>
          <cell r="N117"/>
          <cell r="O117">
            <v>0</v>
          </cell>
          <cell r="R117">
            <v>0</v>
          </cell>
        </row>
        <row r="118">
          <cell r="F118"/>
          <cell r="H118"/>
          <cell r="I118"/>
          <cell r="L118"/>
          <cell r="M118"/>
          <cell r="N118"/>
          <cell r="O118">
            <v>0</v>
          </cell>
          <cell r="R118">
            <v>0</v>
          </cell>
        </row>
        <row r="119">
          <cell r="F119"/>
          <cell r="H119"/>
          <cell r="I119"/>
          <cell r="L119"/>
          <cell r="M119"/>
          <cell r="N119"/>
          <cell r="O119">
            <v>0</v>
          </cell>
          <cell r="R119">
            <v>0</v>
          </cell>
        </row>
        <row r="120">
          <cell r="F120"/>
          <cell r="H120"/>
          <cell r="I120"/>
          <cell r="L120"/>
          <cell r="M120"/>
          <cell r="N120"/>
          <cell r="O120">
            <v>0</v>
          </cell>
          <cell r="R120">
            <v>0</v>
          </cell>
        </row>
        <row r="121">
          <cell r="F121"/>
          <cell r="H121"/>
          <cell r="I121"/>
          <cell r="L121"/>
          <cell r="M121"/>
          <cell r="N121"/>
          <cell r="O121">
            <v>0</v>
          </cell>
          <cell r="R121">
            <v>0</v>
          </cell>
        </row>
        <row r="122">
          <cell r="F122"/>
          <cell r="H122"/>
          <cell r="I122"/>
          <cell r="L122"/>
          <cell r="M122"/>
          <cell r="N122"/>
          <cell r="O122">
            <v>0</v>
          </cell>
          <cell r="R122">
            <v>0</v>
          </cell>
        </row>
        <row r="123">
          <cell r="F123"/>
          <cell r="H123"/>
          <cell r="I123"/>
          <cell r="L123"/>
          <cell r="M123"/>
          <cell r="N123"/>
          <cell r="O123">
            <v>0</v>
          </cell>
          <cell r="R123">
            <v>0</v>
          </cell>
        </row>
        <row r="124">
          <cell r="F124"/>
          <cell r="H124"/>
          <cell r="I124"/>
          <cell r="L124"/>
          <cell r="M124"/>
          <cell r="N124"/>
          <cell r="O124">
            <v>0</v>
          </cell>
          <cell r="R124">
            <v>0</v>
          </cell>
        </row>
      </sheetData>
      <sheetData sheetId="7"/>
      <sheetData sheetId="8">
        <row r="6">
          <cell r="A6" t="str">
            <v>Invested Cash</v>
          </cell>
          <cell r="B6">
            <v>250000</v>
          </cell>
          <cell r="C6">
            <v>250000</v>
          </cell>
          <cell r="D6">
            <v>250000</v>
          </cell>
          <cell r="E6">
            <v>250000</v>
          </cell>
          <cell r="F6">
            <v>250000</v>
          </cell>
          <cell r="G6">
            <v>250000</v>
          </cell>
          <cell r="H6">
            <v>250000</v>
          </cell>
          <cell r="I6">
            <v>250000</v>
          </cell>
          <cell r="J6">
            <v>250000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row>
        <row r="7">
          <cell r="A7" t="str">
            <v>Exam Rooms</v>
          </cell>
          <cell r="B7">
            <v>4</v>
          </cell>
          <cell r="C7">
            <v>4</v>
          </cell>
          <cell r="D7">
            <v>4</v>
          </cell>
          <cell r="E7">
            <v>4</v>
          </cell>
          <cell r="F7">
            <v>4</v>
          </cell>
          <cell r="G7">
            <v>5</v>
          </cell>
          <cell r="H7">
            <v>5</v>
          </cell>
          <cell r="I7">
            <v>5</v>
          </cell>
          <cell r="J7">
            <v>5</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row>
        <row r="8">
          <cell r="A8" t="str">
            <v>Available Hours</v>
          </cell>
          <cell r="B8">
            <v>806</v>
          </cell>
          <cell r="C8">
            <v>775</v>
          </cell>
          <cell r="D8">
            <v>1010</v>
          </cell>
          <cell r="E8">
            <v>1010</v>
          </cell>
          <cell r="F8">
            <v>1010</v>
          </cell>
          <cell r="G8">
            <v>994</v>
          </cell>
          <cell r="H8">
            <v>1164</v>
          </cell>
          <cell r="I8">
            <v>1164</v>
          </cell>
          <cell r="J8">
            <v>1121</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row>
        <row r="9">
          <cell r="A9" t="str">
            <v>Visits</v>
          </cell>
          <cell r="B9">
            <v>609</v>
          </cell>
          <cell r="C9">
            <v>569</v>
          </cell>
          <cell r="D9">
            <v>637</v>
          </cell>
          <cell r="E9">
            <v>637</v>
          </cell>
          <cell r="F9">
            <v>643</v>
          </cell>
          <cell r="G9">
            <v>611</v>
          </cell>
          <cell r="H9">
            <v>670</v>
          </cell>
          <cell r="I9">
            <v>718</v>
          </cell>
          <cell r="J9">
            <v>651</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A10" t="str">
            <v>Net Revenue</v>
          </cell>
          <cell r="B10">
            <v>1275902.9100000001</v>
          </cell>
          <cell r="C10">
            <v>1126150.08</v>
          </cell>
          <cell r="D10">
            <v>1848023.99</v>
          </cell>
          <cell r="E10">
            <v>1186367.0899999999</v>
          </cell>
          <cell r="F10">
            <v>1271097.17</v>
          </cell>
          <cell r="G10">
            <v>1064037.1800000002</v>
          </cell>
          <cell r="H10">
            <v>1108964.92</v>
          </cell>
          <cell r="I10">
            <v>1213644.17</v>
          </cell>
          <cell r="J10">
            <v>1022427</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row>
        <row r="11">
          <cell r="A11" t="str">
            <v>EBITDA</v>
          </cell>
          <cell r="B11">
            <v>725730.30000000016</v>
          </cell>
          <cell r="C11">
            <v>549518.73999999987</v>
          </cell>
          <cell r="D11">
            <v>628601.83000000007</v>
          </cell>
          <cell r="E11">
            <v>1068795.79</v>
          </cell>
          <cell r="F11">
            <v>694056.27000000025</v>
          </cell>
          <cell r="G11">
            <v>1252709.1900000002</v>
          </cell>
          <cell r="H11">
            <v>431246.54000000004</v>
          </cell>
          <cell r="I11">
            <v>575042.18000000017</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row>
        <row r="12">
          <cell r="A12" t="str">
            <v>Net Income</v>
          </cell>
          <cell r="B12">
            <v>706866.8600000001</v>
          </cell>
          <cell r="C12">
            <v>535660.23999999987</v>
          </cell>
          <cell r="D12">
            <v>614717.33000000007</v>
          </cell>
          <cell r="E12">
            <v>1054843.2899999998</v>
          </cell>
          <cell r="F12">
            <v>680066.77000000025</v>
          </cell>
          <cell r="G12">
            <v>452574.01</v>
          </cell>
          <cell r="H12">
            <v>416451.04000000004</v>
          </cell>
          <cell r="I12">
            <v>503950.68000000011</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row>
        <row r="13">
          <cell r="A13" t="str">
            <v>Free Cash Flow</v>
          </cell>
          <cell r="B13">
            <v>771479.09999999986</v>
          </cell>
          <cell r="C13">
            <v>612809.65000000014</v>
          </cell>
          <cell r="D13">
            <v>-3853.3000000000393</v>
          </cell>
          <cell r="E13">
            <v>575536.65000000014</v>
          </cell>
          <cell r="F13">
            <v>558687.79000000015</v>
          </cell>
          <cell r="G13">
            <v>83585.640000000116</v>
          </cell>
          <cell r="H13">
            <v>279166.53000000003</v>
          </cell>
          <cell r="I13">
            <v>28667.990000000013</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row>
        <row r="14">
          <cell r="A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row>
        <row r="15">
          <cell r="A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row>
        <row r="16">
          <cell r="A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row>
        <row r="17">
          <cell r="A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row>
        <row r="18">
          <cell r="A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row>
        <row r="19">
          <cell r="A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row>
        <row r="20">
          <cell r="A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1">
          <cell r="A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row>
        <row r="22">
          <cell r="A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row>
        <row r="25">
          <cell r="A25" t="str">
            <v>Invested Cash</v>
          </cell>
          <cell r="B25">
            <v>250000</v>
          </cell>
          <cell r="C25">
            <v>250000</v>
          </cell>
          <cell r="D25">
            <v>250000</v>
          </cell>
          <cell r="E25">
            <v>250000</v>
          </cell>
          <cell r="F25">
            <v>250000</v>
          </cell>
          <cell r="G25">
            <v>250000</v>
          </cell>
          <cell r="H25">
            <v>250000</v>
          </cell>
          <cell r="I25">
            <v>250000</v>
          </cell>
          <cell r="J25">
            <v>250000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row>
        <row r="26">
          <cell r="A26" t="str">
            <v>Exam Rooms/Invested Cash</v>
          </cell>
          <cell r="B26">
            <v>1.5999999999999999E-5</v>
          </cell>
          <cell r="C26">
            <v>1.5999999999999999E-5</v>
          </cell>
          <cell r="D26">
            <v>1.5999999999999999E-5</v>
          </cell>
          <cell r="E26">
            <v>1.5999999999999999E-5</v>
          </cell>
          <cell r="F26">
            <v>1.5999999999999999E-5</v>
          </cell>
          <cell r="G26">
            <v>2.0000000000000002E-5</v>
          </cell>
          <cell r="H26">
            <v>2.0000000000000002E-5</v>
          </cell>
          <cell r="I26">
            <v>2.0000000000000002E-5</v>
          </cell>
          <cell r="J26">
            <v>2.0000000000000002E-5</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row>
        <row r="27">
          <cell r="A27" t="str">
            <v>Available Hours/Exam Rooms</v>
          </cell>
          <cell r="B27">
            <v>201.5</v>
          </cell>
          <cell r="C27">
            <v>193.75</v>
          </cell>
          <cell r="D27">
            <v>252.5</v>
          </cell>
          <cell r="E27">
            <v>252.5</v>
          </cell>
          <cell r="F27">
            <v>252.5</v>
          </cell>
          <cell r="G27">
            <v>198.8</v>
          </cell>
          <cell r="H27">
            <v>232.8</v>
          </cell>
          <cell r="I27">
            <v>232.8</v>
          </cell>
          <cell r="J27">
            <v>224.2</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row>
        <row r="28">
          <cell r="A28" t="str">
            <v>Visits/Available Hours</v>
          </cell>
          <cell r="B28">
            <v>0.75558312655086846</v>
          </cell>
          <cell r="C28">
            <v>0.73419354838709683</v>
          </cell>
          <cell r="D28">
            <v>0.6306930693069307</v>
          </cell>
          <cell r="E28">
            <v>0.6306930693069307</v>
          </cell>
          <cell r="F28">
            <v>0.63663366336633664</v>
          </cell>
          <cell r="G28">
            <v>0.61468812877263579</v>
          </cell>
          <cell r="H28">
            <v>0.57560137457044669</v>
          </cell>
          <cell r="I28">
            <v>0.61683848797250862</v>
          </cell>
          <cell r="J28">
            <v>0.5807314897413024</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row>
        <row r="29">
          <cell r="A29" t="str">
            <v>Net Revenue/Visits</v>
          </cell>
          <cell r="B29">
            <v>2095.0786699507394</v>
          </cell>
          <cell r="C29">
            <v>1979.1741300527242</v>
          </cell>
          <cell r="D29">
            <v>2901.1365620094193</v>
          </cell>
          <cell r="E29">
            <v>1862.4287127158552</v>
          </cell>
          <cell r="F29">
            <v>1976.8229704510109</v>
          </cell>
          <cell r="G29">
            <v>1741.4683797054013</v>
          </cell>
          <cell r="H29">
            <v>1655.1715223880597</v>
          </cell>
          <cell r="I29">
            <v>1690.3122144846795</v>
          </cell>
          <cell r="J29">
            <v>1570.5483870967741</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row>
        <row r="30">
          <cell r="A30" t="str">
            <v>EBITDA/Net Revenue</v>
          </cell>
          <cell r="B30">
            <v>0.56879743302725128</v>
          </cell>
          <cell r="C30">
            <v>0.48796226165521372</v>
          </cell>
          <cell r="D30">
            <v>0.34014808974422461</v>
          </cell>
          <cell r="E30">
            <v>0.90089804328607948</v>
          </cell>
          <cell r="F30">
            <v>0.54602927799768475</v>
          </cell>
          <cell r="G30">
            <v>1.1773171215690037</v>
          </cell>
          <cell r="H30">
            <v>0.38887302224131676</v>
          </cell>
          <cell r="I30">
            <v>0.47381447891765527</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row>
        <row r="31">
          <cell r="A31" t="str">
            <v>Net Income/EBITDA</v>
          </cell>
          <cell r="B31">
            <v>0.9740076444376099</v>
          </cell>
          <cell r="C31">
            <v>0.97478065989159901</v>
          </cell>
          <cell r="D31">
            <v>0.97791209102907006</v>
          </cell>
          <cell r="E31">
            <v>0.98694558854877201</v>
          </cell>
          <cell r="F31">
            <v>0.97984385329448864</v>
          </cell>
          <cell r="G31">
            <v>0.36127619531553046</v>
          </cell>
          <cell r="H31">
            <v>0.9656913189378864</v>
          </cell>
          <cell r="I31">
            <v>0.87637167763936896</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row>
        <row r="32">
          <cell r="A32" t="str">
            <v>Free Cash Flow/Net Income</v>
          </cell>
          <cell r="B32">
            <v>1.091406520316994</v>
          </cell>
          <cell r="C32">
            <v>1.1440267621879128</v>
          </cell>
          <cell r="D32">
            <v>-6.2684095794078862E-3</v>
          </cell>
          <cell r="E32">
            <v>0.54561341524009721</v>
          </cell>
          <cell r="F32">
            <v>0.82151902525688758</v>
          </cell>
          <cell r="G32">
            <v>0.18468943897153994</v>
          </cell>
          <cell r="H32">
            <v>0.67034657903603745</v>
          </cell>
          <cell r="I32">
            <v>5.6886499289970215E-2</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row>
        <row r="33">
          <cell r="A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row>
        <row r="34">
          <cell r="A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row>
        <row r="35">
          <cell r="A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row>
        <row r="36">
          <cell r="A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row>
        <row r="37">
          <cell r="A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row>
        <row r="38">
          <cell r="A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row>
        <row r="39">
          <cell r="A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row>
        <row r="40">
          <cell r="A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row>
        <row r="41">
          <cell r="A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row>
        <row r="69">
          <cell r="B69">
            <v>250000</v>
          </cell>
          <cell r="C69">
            <v>250000</v>
          </cell>
          <cell r="D69">
            <v>250000</v>
          </cell>
          <cell r="E69">
            <v>250000</v>
          </cell>
          <cell r="F69">
            <v>250000</v>
          </cell>
          <cell r="G69">
            <v>250000</v>
          </cell>
          <cell r="H69">
            <v>250000</v>
          </cell>
          <cell r="I69">
            <v>250000</v>
          </cell>
          <cell r="J69">
            <v>250000</v>
          </cell>
          <cell r="K69">
            <v>250000</v>
          </cell>
          <cell r="L69">
            <v>250000</v>
          </cell>
          <cell r="M69">
            <v>250000</v>
          </cell>
          <cell r="N69">
            <v>250000</v>
          </cell>
          <cell r="O69">
            <v>250000</v>
          </cell>
          <cell r="P69">
            <v>250000</v>
          </cell>
          <cell r="Q69">
            <v>250000</v>
          </cell>
          <cell r="R69">
            <v>250000</v>
          </cell>
          <cell r="S69">
            <v>250000</v>
          </cell>
          <cell r="T69">
            <v>250000</v>
          </cell>
          <cell r="U69">
            <v>250000</v>
          </cell>
          <cell r="V69">
            <v>250000</v>
          </cell>
          <cell r="W69">
            <v>250000</v>
          </cell>
          <cell r="X69">
            <v>250000</v>
          </cell>
          <cell r="Y69">
            <v>250000</v>
          </cell>
          <cell r="Z69">
            <v>250000</v>
          </cell>
          <cell r="AA69">
            <v>250000</v>
          </cell>
          <cell r="AB69">
            <v>250000</v>
          </cell>
          <cell r="AC69">
            <v>250000</v>
          </cell>
          <cell r="AD69">
            <v>250000</v>
          </cell>
          <cell r="AE69">
            <v>250000</v>
          </cell>
          <cell r="AF69">
            <v>250000</v>
          </cell>
          <cell r="AG69">
            <v>250000</v>
          </cell>
          <cell r="AH69">
            <v>250000</v>
          </cell>
          <cell r="AI69">
            <v>250000</v>
          </cell>
          <cell r="AJ69">
            <v>250000</v>
          </cell>
          <cell r="AK69">
            <v>250000</v>
          </cell>
        </row>
        <row r="70">
          <cell r="B70">
            <v>1.5999999999999999E-5</v>
          </cell>
          <cell r="C70">
            <v>1.5999999999999999E-5</v>
          </cell>
          <cell r="D70">
            <v>1.5999999999999999E-5</v>
          </cell>
          <cell r="E70">
            <v>1.5999999999999999E-5</v>
          </cell>
          <cell r="F70">
            <v>2.0000000000000002E-5</v>
          </cell>
          <cell r="G70">
            <v>2.0000000000000002E-5</v>
          </cell>
          <cell r="H70">
            <v>2.4000000000000001E-5</v>
          </cell>
          <cell r="I70">
            <v>2.4000000000000001E-5</v>
          </cell>
          <cell r="J70">
            <v>2.4000000000000001E-5</v>
          </cell>
          <cell r="K70">
            <v>2.4000000000000001E-5</v>
          </cell>
          <cell r="L70">
            <v>2.4000000000000001E-5</v>
          </cell>
          <cell r="M70">
            <v>2.4000000000000001E-5</v>
          </cell>
          <cell r="N70">
            <v>2.4000000000000001E-5</v>
          </cell>
          <cell r="O70">
            <v>2.4000000000000001E-5</v>
          </cell>
          <cell r="P70">
            <v>2.4000000000000001E-5</v>
          </cell>
          <cell r="Q70">
            <v>2.4000000000000001E-5</v>
          </cell>
          <cell r="R70">
            <v>2.4000000000000001E-5</v>
          </cell>
          <cell r="S70">
            <v>2.4000000000000001E-5</v>
          </cell>
          <cell r="T70">
            <v>2.4000000000000001E-5</v>
          </cell>
          <cell r="U70">
            <v>2.4000000000000001E-5</v>
          </cell>
          <cell r="V70">
            <v>2.4000000000000001E-5</v>
          </cell>
          <cell r="W70">
            <v>2.4000000000000001E-5</v>
          </cell>
          <cell r="X70">
            <v>2.4000000000000001E-5</v>
          </cell>
          <cell r="Y70">
            <v>2.4000000000000001E-5</v>
          </cell>
          <cell r="Z70">
            <v>2.4000000000000001E-5</v>
          </cell>
          <cell r="AA70">
            <v>2.4000000000000001E-5</v>
          </cell>
          <cell r="AB70">
            <v>2.4000000000000001E-5</v>
          </cell>
          <cell r="AC70">
            <v>2.4000000000000001E-5</v>
          </cell>
          <cell r="AD70">
            <v>2.4000000000000001E-5</v>
          </cell>
          <cell r="AE70">
            <v>2.4000000000000001E-5</v>
          </cell>
          <cell r="AF70">
            <v>2.4000000000000001E-5</v>
          </cell>
          <cell r="AG70">
            <v>2.4000000000000001E-5</v>
          </cell>
          <cell r="AH70">
            <v>2.4000000000000001E-5</v>
          </cell>
          <cell r="AI70">
            <v>2.4000000000000001E-5</v>
          </cell>
          <cell r="AJ70">
            <v>2.4000000000000001E-5</v>
          </cell>
          <cell r="AK70">
            <v>2.4000000000000001E-5</v>
          </cell>
        </row>
        <row r="71">
          <cell r="B71">
            <v>126</v>
          </cell>
          <cell r="C71">
            <v>126</v>
          </cell>
          <cell r="D71">
            <v>126</v>
          </cell>
          <cell r="E71">
            <v>126</v>
          </cell>
          <cell r="F71">
            <v>104.8</v>
          </cell>
          <cell r="G71">
            <v>104.8</v>
          </cell>
          <cell r="H71">
            <v>114</v>
          </cell>
          <cell r="I71">
            <v>114</v>
          </cell>
          <cell r="J71">
            <v>114</v>
          </cell>
          <cell r="K71">
            <v>140.66666666666666</v>
          </cell>
          <cell r="L71">
            <v>140.66666666666666</v>
          </cell>
          <cell r="M71">
            <v>144</v>
          </cell>
          <cell r="N71">
            <v>170.66666666666666</v>
          </cell>
          <cell r="O71">
            <v>170.66666666666666</v>
          </cell>
          <cell r="P71">
            <v>170.66666666666666</v>
          </cell>
          <cell r="Q71">
            <v>197.33333333333334</v>
          </cell>
          <cell r="R71">
            <v>197.33333333333334</v>
          </cell>
          <cell r="S71">
            <v>197.33333333333334</v>
          </cell>
          <cell r="T71">
            <v>197.33333333333334</v>
          </cell>
          <cell r="U71">
            <v>197.33333333333334</v>
          </cell>
          <cell r="V71">
            <v>197.33333333333334</v>
          </cell>
          <cell r="W71">
            <v>197.33333333333334</v>
          </cell>
          <cell r="X71">
            <v>197.33333333333334</v>
          </cell>
          <cell r="Y71">
            <v>197.33333333333334</v>
          </cell>
          <cell r="Z71">
            <v>197.33333333333334</v>
          </cell>
          <cell r="AA71">
            <v>197.33333333333334</v>
          </cell>
          <cell r="AB71">
            <v>197.33333333333334</v>
          </cell>
          <cell r="AC71">
            <v>197.33333333333334</v>
          </cell>
          <cell r="AD71">
            <v>197.33333333333334</v>
          </cell>
          <cell r="AE71">
            <v>197.33333333333334</v>
          </cell>
          <cell r="AF71">
            <v>197.33333333333334</v>
          </cell>
          <cell r="AG71">
            <v>197.33333333333334</v>
          </cell>
          <cell r="AH71">
            <v>197.33333333333334</v>
          </cell>
          <cell r="AI71">
            <v>197.33333333333334</v>
          </cell>
          <cell r="AJ71">
            <v>197.33333333333334</v>
          </cell>
          <cell r="AK71">
            <v>197.33333333333334</v>
          </cell>
        </row>
        <row r="72">
          <cell r="B72">
            <v>1.1320647555871441</v>
          </cell>
          <cell r="C72">
            <v>1.177556740108979</v>
          </cell>
          <cell r="D72">
            <v>1.1627822790807871</v>
          </cell>
          <cell r="E72">
            <v>1.3286879096580595</v>
          </cell>
          <cell r="F72">
            <v>1.3546760472446933</v>
          </cell>
          <cell r="G72">
            <v>1.3307681440127608</v>
          </cell>
          <cell r="H72">
            <v>1.5329546710889994</v>
          </cell>
          <cell r="I72">
            <v>1.5307580518460326</v>
          </cell>
          <cell r="J72">
            <v>1.6268425707718721</v>
          </cell>
          <cell r="K72">
            <v>1.5344563674518401</v>
          </cell>
          <cell r="L72">
            <v>1.6167602862464929</v>
          </cell>
          <cell r="M72">
            <v>1.692927860696517</v>
          </cell>
          <cell r="N72">
            <v>1.6046332400497516</v>
          </cell>
          <cell r="O72">
            <v>1.5970386349502488</v>
          </cell>
          <cell r="P72">
            <v>1.6579950248756219</v>
          </cell>
          <cell r="Q72">
            <v>1.3253909775447088</v>
          </cell>
          <cell r="R72">
            <v>1.4045801936264621</v>
          </cell>
          <cell r="S72">
            <v>1.4695343552507731</v>
          </cell>
          <cell r="T72">
            <v>1.503807314777464</v>
          </cell>
          <cell r="U72">
            <v>1.4751321366142265</v>
          </cell>
          <cell r="V72">
            <v>1.4578575904262472</v>
          </cell>
          <cell r="W72">
            <v>1.5736019228183407</v>
          </cell>
          <cell r="X72">
            <v>1.6164816996100579</v>
          </cell>
          <cell r="Y72">
            <v>1.6083662363856397</v>
          </cell>
          <cell r="Z72">
            <v>1.6083662363856397</v>
          </cell>
          <cell r="AA72">
            <v>1.6083662363856397</v>
          </cell>
          <cell r="AB72">
            <v>1.6083662363856397</v>
          </cell>
          <cell r="AC72">
            <v>1.6083662363856397</v>
          </cell>
          <cell r="AD72">
            <v>1.6083662363856397</v>
          </cell>
          <cell r="AE72">
            <v>1.6083662363856397</v>
          </cell>
          <cell r="AF72">
            <v>1.6083662363856397</v>
          </cell>
          <cell r="AG72">
            <v>1.6083662363856397</v>
          </cell>
          <cell r="AH72">
            <v>1.6083662363856397</v>
          </cell>
          <cell r="AI72">
            <v>1.6083662363856397</v>
          </cell>
          <cell r="AJ72">
            <v>1.6083662363856397</v>
          </cell>
          <cell r="AK72">
            <v>1.6083662363856397</v>
          </cell>
        </row>
        <row r="73">
          <cell r="B73">
            <v>1420.0494994438261</v>
          </cell>
          <cell r="C73">
            <v>835.8858974358975</v>
          </cell>
          <cell r="D73">
            <v>1021.8801991798476</v>
          </cell>
          <cell r="E73">
            <v>1369.11214953271</v>
          </cell>
          <cell r="F73">
            <v>1468.1366685299047</v>
          </cell>
          <cell r="G73">
            <v>1217.523148148148</v>
          </cell>
          <cell r="H73">
            <v>920.47455176402502</v>
          </cell>
          <cell r="I73">
            <v>993.22106481481444</v>
          </cell>
          <cell r="J73">
            <v>905.71550205519645</v>
          </cell>
          <cell r="K73">
            <v>440.02089136490235</v>
          </cell>
          <cell r="L73">
            <v>582.22345390898477</v>
          </cell>
          <cell r="M73">
            <v>1355.5803418803418</v>
          </cell>
          <cell r="N73">
            <v>1304.3875413450935</v>
          </cell>
          <cell r="O73">
            <v>992.60605115408634</v>
          </cell>
          <cell r="P73">
            <v>1021.9516509433962</v>
          </cell>
          <cell r="Q73">
            <v>967.87285121517482</v>
          </cell>
          <cell r="R73">
            <v>1118.2262103505841</v>
          </cell>
          <cell r="S73">
            <v>1413.0801713586291</v>
          </cell>
          <cell r="T73">
            <v>552.10786516853921</v>
          </cell>
          <cell r="U73">
            <v>1793.0639889196673</v>
          </cell>
          <cell r="V73">
            <v>830.90599625234256</v>
          </cell>
          <cell r="W73">
            <v>809.01444141689399</v>
          </cell>
          <cell r="X73">
            <v>1636.3574739281571</v>
          </cell>
          <cell r="Y73">
            <v>581.73059743160263</v>
          </cell>
          <cell r="Z73">
            <v>581.73059743160263</v>
          </cell>
          <cell r="AA73">
            <v>581.73059743160263</v>
          </cell>
          <cell r="AB73">
            <v>581.73059743160263</v>
          </cell>
          <cell r="AC73">
            <v>581.73059743160263</v>
          </cell>
          <cell r="AD73">
            <v>581.73059743160263</v>
          </cell>
          <cell r="AE73">
            <v>581.73059743160263</v>
          </cell>
          <cell r="AF73">
            <v>581.73059743160263</v>
          </cell>
          <cell r="AG73">
            <v>581.73059743160263</v>
          </cell>
          <cell r="AH73">
            <v>581.73059743160263</v>
          </cell>
          <cell r="AI73">
            <v>581.73059743160263</v>
          </cell>
          <cell r="AJ73">
            <v>581.73059743160263</v>
          </cell>
          <cell r="AK73">
            <v>581.73059743160263</v>
          </cell>
        </row>
        <row r="74">
          <cell r="B74">
            <v>0.47244733593428667</v>
          </cell>
          <cell r="C74">
            <v>0.39369963069838243</v>
          </cell>
          <cell r="D74">
            <v>0.37967198060880619</v>
          </cell>
          <cell r="E74">
            <v>0.45544806911239466</v>
          </cell>
          <cell r="F74">
            <v>0.50674485406652237</v>
          </cell>
          <cell r="G74">
            <v>0.51862830276839589</v>
          </cell>
          <cell r="H74">
            <v>0.41033436503426785</v>
          </cell>
          <cell r="I74">
            <v>0.27281752438366041</v>
          </cell>
          <cell r="J74">
            <v>0.41458990069460905</v>
          </cell>
          <cell r="K74">
            <v>0.37370310810778284</v>
          </cell>
          <cell r="L74">
            <v>0.34596397343650548</v>
          </cell>
          <cell r="M74">
            <v>0.46467237821372992</v>
          </cell>
          <cell r="N74">
            <v>0.42376877243002126</v>
          </cell>
          <cell r="O74">
            <v>0.42339113792183003</v>
          </cell>
          <cell r="P74">
            <v>0.46971481400246778</v>
          </cell>
          <cell r="Q74">
            <v>0.31429195251723474</v>
          </cell>
          <cell r="R74">
            <v>0.43253727158555721</v>
          </cell>
          <cell r="S74">
            <v>0.35220054144986601</v>
          </cell>
          <cell r="T74">
            <v>0.21975898100949107</v>
          </cell>
          <cell r="U74">
            <v>0.46067804093750608</v>
          </cell>
          <cell r="V74">
            <v>0.3334346315775179</v>
          </cell>
          <cell r="W74">
            <v>0.4148315488735711</v>
          </cell>
          <cell r="X74">
            <v>0.40537555787612362</v>
          </cell>
          <cell r="Y74">
            <v>0.40261028941112503</v>
          </cell>
          <cell r="Z74">
            <v>0.40261028941112503</v>
          </cell>
          <cell r="AA74">
            <v>0.40261028941112503</v>
          </cell>
          <cell r="AB74">
            <v>0.40261028941112503</v>
          </cell>
          <cell r="AC74">
            <v>0.40261028941112503</v>
          </cell>
          <cell r="AD74">
            <v>0.40261028941112503</v>
          </cell>
          <cell r="AE74">
            <v>0.40261028941112503</v>
          </cell>
          <cell r="AF74">
            <v>0.40261028941112503</v>
          </cell>
          <cell r="AG74">
            <v>0.40261028941112503</v>
          </cell>
          <cell r="AH74">
            <v>0.40261028941112503</v>
          </cell>
          <cell r="AI74">
            <v>0.40261028941112503</v>
          </cell>
          <cell r="AJ74">
            <v>0.40261028941112503</v>
          </cell>
          <cell r="AK74">
            <v>0.40261028941112503</v>
          </cell>
        </row>
        <row r="75">
          <cell r="B75">
            <v>0.5</v>
          </cell>
          <cell r="C75">
            <v>0.5</v>
          </cell>
          <cell r="D75">
            <v>0.5</v>
          </cell>
          <cell r="E75">
            <v>0.5</v>
          </cell>
          <cell r="F75">
            <v>0.5</v>
          </cell>
          <cell r="G75">
            <v>0.5</v>
          </cell>
          <cell r="H75">
            <v>0.5</v>
          </cell>
          <cell r="I75">
            <v>0.5</v>
          </cell>
          <cell r="J75">
            <v>0.5</v>
          </cell>
          <cell r="K75">
            <v>0.5</v>
          </cell>
          <cell r="L75">
            <v>0.5</v>
          </cell>
          <cell r="M75">
            <v>0.5</v>
          </cell>
          <cell r="N75">
            <v>0.5</v>
          </cell>
          <cell r="O75">
            <v>0.5</v>
          </cell>
          <cell r="P75">
            <v>0.5</v>
          </cell>
          <cell r="Q75">
            <v>0.5</v>
          </cell>
          <cell r="R75">
            <v>0.5</v>
          </cell>
          <cell r="S75">
            <v>0.5</v>
          </cell>
          <cell r="T75">
            <v>0.5</v>
          </cell>
          <cell r="U75">
            <v>0.5</v>
          </cell>
          <cell r="V75">
            <v>0.5</v>
          </cell>
          <cell r="W75">
            <v>0.5</v>
          </cell>
          <cell r="X75">
            <v>0.5</v>
          </cell>
          <cell r="Y75">
            <v>0.5</v>
          </cell>
          <cell r="Z75">
            <v>0.5</v>
          </cell>
          <cell r="AA75">
            <v>0.5</v>
          </cell>
          <cell r="AB75">
            <v>0.5</v>
          </cell>
          <cell r="AC75">
            <v>0.5</v>
          </cell>
          <cell r="AD75">
            <v>0.5</v>
          </cell>
          <cell r="AE75">
            <v>0.5</v>
          </cell>
          <cell r="AF75">
            <v>0.5</v>
          </cell>
          <cell r="AG75">
            <v>0.5</v>
          </cell>
          <cell r="AH75">
            <v>0.5</v>
          </cell>
          <cell r="AI75">
            <v>0.5</v>
          </cell>
          <cell r="AJ75">
            <v>0.5</v>
          </cell>
          <cell r="AK75">
            <v>0.5</v>
          </cell>
        </row>
        <row r="76">
          <cell r="B76">
            <v>0.9320969407663503</v>
          </cell>
          <cell r="C76">
            <v>1.0431155016982041</v>
          </cell>
          <cell r="D76">
            <v>1.0271733220501569</v>
          </cell>
          <cell r="E76">
            <v>1.111021349185408</v>
          </cell>
          <cell r="F76">
            <v>0.76289130621255297</v>
          </cell>
          <cell r="G76">
            <v>0.78085093066567035</v>
          </cell>
          <cell r="H76">
            <v>1.1791591806773214</v>
          </cell>
          <cell r="I76">
            <v>1.5676031765331822</v>
          </cell>
          <cell r="J76">
            <v>1.1372260881448628</v>
          </cell>
          <cell r="K76">
            <v>1.1504654417425084</v>
          </cell>
          <cell r="L76">
            <v>1.279327512008297</v>
          </cell>
          <cell r="M76">
            <v>0.88520546211719797</v>
          </cell>
          <cell r="N76">
            <v>0.59806546068593869</v>
          </cell>
          <cell r="O76">
            <v>0.84709540415224271</v>
          </cell>
          <cell r="P76">
            <v>0.77522794906890691</v>
          </cell>
          <cell r="Q76">
            <v>1.3858792094094592</v>
          </cell>
          <cell r="R76">
            <v>0.85106053456713149</v>
          </cell>
          <cell r="S76">
            <v>1.3134277622426522</v>
          </cell>
          <cell r="T76">
            <v>1.5683752853712736</v>
          </cell>
          <cell r="U76">
            <v>0.68229181047099974</v>
          </cell>
          <cell r="V76">
            <v>1.2511290772009054</v>
          </cell>
          <cell r="W76">
            <v>0.96948830271608977</v>
          </cell>
          <cell r="X76">
            <v>1.0485489736881017</v>
          </cell>
          <cell r="Y76">
            <v>0.96692149597516763</v>
          </cell>
          <cell r="Z76">
            <v>0.96692149597516763</v>
          </cell>
          <cell r="AA76">
            <v>0.96692149597516763</v>
          </cell>
          <cell r="AB76">
            <v>0.96692149597516763</v>
          </cell>
          <cell r="AC76">
            <v>0.96692149597516763</v>
          </cell>
          <cell r="AD76">
            <v>0.96692149597516763</v>
          </cell>
          <cell r="AE76">
            <v>0.96692149597516763</v>
          </cell>
          <cell r="AF76">
            <v>0.96692149597516763</v>
          </cell>
          <cell r="AG76">
            <v>0.96692149597516763</v>
          </cell>
          <cell r="AH76">
            <v>0.96692149597516763</v>
          </cell>
          <cell r="AI76">
            <v>0.96692149597516763</v>
          </cell>
          <cell r="AJ76">
            <v>0.96692149597516763</v>
          </cell>
          <cell r="AK76">
            <v>0.96692149597516763</v>
          </cell>
        </row>
        <row r="77">
          <cell r="B77" t="str">
            <v/>
          </cell>
          <cell r="C77" t="str">
            <v/>
          </cell>
          <cell r="D77" t="str">
            <v/>
          </cell>
          <cell r="E77" t="str">
            <v/>
          </cell>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cell r="Z77" t="str">
            <v/>
          </cell>
          <cell r="AA77" t="str">
            <v/>
          </cell>
          <cell r="AB77" t="str">
            <v/>
          </cell>
          <cell r="AC77" t="str">
            <v/>
          </cell>
          <cell r="AD77" t="str">
            <v/>
          </cell>
          <cell r="AE77" t="str">
            <v/>
          </cell>
          <cell r="AF77" t="str">
            <v/>
          </cell>
          <cell r="AG77" t="str">
            <v/>
          </cell>
          <cell r="AH77" t="str">
            <v/>
          </cell>
          <cell r="AI77" t="str">
            <v/>
          </cell>
          <cell r="AJ77" t="str">
            <v/>
          </cell>
          <cell r="AK77" t="str">
            <v/>
          </cell>
        </row>
        <row r="78">
          <cell r="B78" t="str">
            <v/>
          </cell>
          <cell r="C78" t="str">
            <v/>
          </cell>
          <cell r="D78" t="str">
            <v/>
          </cell>
          <cell r="E78" t="str">
            <v/>
          </cell>
          <cell r="F78" t="str">
            <v/>
          </cell>
          <cell r="G78" t="str">
            <v/>
          </cell>
          <cell r="H78" t="str">
            <v/>
          </cell>
          <cell r="I78" t="str">
            <v/>
          </cell>
          <cell r="J78" t="str">
            <v/>
          </cell>
          <cell r="K78" t="str">
            <v/>
          </cell>
          <cell r="L78" t="str">
            <v/>
          </cell>
          <cell r="M78" t="str">
            <v/>
          </cell>
          <cell r="N78" t="str">
            <v/>
          </cell>
          <cell r="O78" t="str">
            <v/>
          </cell>
          <cell r="P78" t="str">
            <v/>
          </cell>
          <cell r="Q78" t="str">
            <v/>
          </cell>
          <cell r="R78" t="str">
            <v/>
          </cell>
          <cell r="S78" t="str">
            <v/>
          </cell>
          <cell r="T78" t="str">
            <v/>
          </cell>
          <cell r="U78" t="str">
            <v/>
          </cell>
          <cell r="V78" t="str">
            <v/>
          </cell>
          <cell r="W78" t="str">
            <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row>
        <row r="79">
          <cell r="B79" t="str">
            <v/>
          </cell>
          <cell r="C79" t="str">
            <v/>
          </cell>
          <cell r="D79" t="str">
            <v/>
          </cell>
          <cell r="E79" t="str">
            <v/>
          </cell>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row>
        <row r="80">
          <cell r="B80" t="str">
            <v/>
          </cell>
          <cell r="C80" t="str">
            <v/>
          </cell>
          <cell r="D80" t="str">
            <v/>
          </cell>
          <cell r="E80" t="str">
            <v/>
          </cell>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row>
        <row r="81">
          <cell r="B81" t="str">
            <v/>
          </cell>
          <cell r="C81" t="str">
            <v/>
          </cell>
          <cell r="D81" t="str">
            <v/>
          </cell>
          <cell r="E81" t="str">
            <v/>
          </cell>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row>
        <row r="82">
          <cell r="B82" t="str">
            <v/>
          </cell>
          <cell r="C82" t="str">
            <v/>
          </cell>
          <cell r="D82" t="str">
            <v/>
          </cell>
          <cell r="E82" t="str">
            <v/>
          </cell>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row>
        <row r="83">
          <cell r="B83" t="str">
            <v/>
          </cell>
          <cell r="C83" t="str">
            <v/>
          </cell>
          <cell r="D83" t="str">
            <v/>
          </cell>
          <cell r="E83" t="str">
            <v/>
          </cell>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row>
        <row r="84">
          <cell r="B84" t="str">
            <v/>
          </cell>
          <cell r="C84" t="str">
            <v/>
          </cell>
          <cell r="D84" t="str">
            <v/>
          </cell>
          <cell r="E84" t="str">
            <v/>
          </cell>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row>
        <row r="85">
          <cell r="B85"/>
        </row>
        <row r="93">
          <cell r="B93">
            <v>0</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row>
        <row r="94">
          <cell r="B94">
            <v>0</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row>
        <row r="95">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row>
        <row r="96">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row>
        <row r="97">
          <cell r="B97">
            <v>0</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row>
        <row r="98">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row>
        <row r="99">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row>
      </sheetData>
      <sheetData sheetId="9"/>
      <sheetData sheetId="10">
        <row r="4">
          <cell r="B4">
            <v>250000</v>
          </cell>
          <cell r="AK4">
            <v>250000</v>
          </cell>
        </row>
        <row r="5">
          <cell r="AK5">
            <v>2.4000000000000001E-5</v>
          </cell>
        </row>
        <row r="6">
          <cell r="AK6">
            <v>197.33333333333334</v>
          </cell>
        </row>
        <row r="7">
          <cell r="AK7">
            <v>1.6083662363856397</v>
          </cell>
        </row>
        <row r="8">
          <cell r="AK8">
            <v>581.73059743160263</v>
          </cell>
        </row>
        <row r="9">
          <cell r="AK9">
            <v>0.40261028941112503</v>
          </cell>
        </row>
        <row r="10">
          <cell r="AK10">
            <v>0.5</v>
          </cell>
        </row>
        <row r="11">
          <cell r="AK11">
            <v>0.96692149597516763</v>
          </cell>
        </row>
        <row r="12">
          <cell r="AK12" t="str">
            <v/>
          </cell>
        </row>
        <row r="13">
          <cell r="AK13" t="str">
            <v/>
          </cell>
        </row>
        <row r="14">
          <cell r="AK14" t="str">
            <v/>
          </cell>
        </row>
        <row r="15">
          <cell r="AK15" t="str">
            <v/>
          </cell>
        </row>
        <row r="16">
          <cell r="AK16" t="str">
            <v/>
          </cell>
        </row>
        <row r="17">
          <cell r="AK17" t="str">
            <v/>
          </cell>
        </row>
        <row r="18">
          <cell r="AK18" t="str">
            <v/>
          </cell>
        </row>
        <row r="19">
          <cell r="AK19" t="str">
            <v/>
          </cell>
        </row>
        <row r="20">
          <cell r="AK20" t="str">
            <v/>
          </cell>
        </row>
        <row r="25">
          <cell r="A25" t="str">
            <v>Invested Cash</v>
          </cell>
          <cell r="B25">
            <v>250000</v>
          </cell>
          <cell r="C25">
            <v>250000</v>
          </cell>
          <cell r="D25">
            <v>250000</v>
          </cell>
          <cell r="E25">
            <v>250000</v>
          </cell>
          <cell r="F25">
            <v>250000</v>
          </cell>
          <cell r="G25">
            <v>250000</v>
          </cell>
          <cell r="H25">
            <v>250000</v>
          </cell>
          <cell r="I25">
            <v>250000</v>
          </cell>
          <cell r="J25">
            <v>250000</v>
          </cell>
          <cell r="K25">
            <v>250000</v>
          </cell>
          <cell r="L25">
            <v>250000</v>
          </cell>
          <cell r="M25">
            <v>250000</v>
          </cell>
          <cell r="N25">
            <v>250000</v>
          </cell>
          <cell r="O25">
            <v>250000</v>
          </cell>
          <cell r="P25">
            <v>250000</v>
          </cell>
          <cell r="Q25">
            <v>250000</v>
          </cell>
          <cell r="R25">
            <v>250000</v>
          </cell>
          <cell r="S25">
            <v>250000</v>
          </cell>
          <cell r="T25">
            <v>250000</v>
          </cell>
          <cell r="U25">
            <v>250000</v>
          </cell>
          <cell r="V25">
            <v>250000</v>
          </cell>
          <cell r="W25">
            <v>250000</v>
          </cell>
          <cell r="X25">
            <v>250000</v>
          </cell>
          <cell r="Y25">
            <v>250000</v>
          </cell>
          <cell r="Z25">
            <v>250000</v>
          </cell>
          <cell r="AA25">
            <v>250000</v>
          </cell>
          <cell r="AB25">
            <v>250000</v>
          </cell>
          <cell r="AC25">
            <v>250000</v>
          </cell>
          <cell r="AD25">
            <v>250000</v>
          </cell>
          <cell r="AE25">
            <v>250000</v>
          </cell>
          <cell r="AF25">
            <v>250000</v>
          </cell>
          <cell r="AG25">
            <v>250000</v>
          </cell>
          <cell r="AH25">
            <v>250000</v>
          </cell>
          <cell r="AI25">
            <v>250000</v>
          </cell>
          <cell r="AJ25">
            <v>250000</v>
          </cell>
          <cell r="AK25">
            <v>250000</v>
          </cell>
        </row>
        <row r="26">
          <cell r="A26" t="str">
            <v>Exam Rooms</v>
          </cell>
          <cell r="B26">
            <v>4</v>
          </cell>
          <cell r="C26">
            <v>4</v>
          </cell>
          <cell r="D26">
            <v>4</v>
          </cell>
          <cell r="E26">
            <v>4</v>
          </cell>
          <cell r="F26">
            <v>5</v>
          </cell>
          <cell r="G26">
            <v>5</v>
          </cell>
          <cell r="H26">
            <v>6</v>
          </cell>
          <cell r="I26">
            <v>6</v>
          </cell>
          <cell r="J26">
            <v>6</v>
          </cell>
          <cell r="K26">
            <v>6</v>
          </cell>
          <cell r="L26">
            <v>6</v>
          </cell>
          <cell r="M26">
            <v>6</v>
          </cell>
          <cell r="N26">
            <v>6</v>
          </cell>
          <cell r="O26">
            <v>6</v>
          </cell>
          <cell r="P26">
            <v>6</v>
          </cell>
          <cell r="Q26">
            <v>6</v>
          </cell>
          <cell r="R26">
            <v>6</v>
          </cell>
          <cell r="S26">
            <v>6</v>
          </cell>
          <cell r="T26">
            <v>6</v>
          </cell>
          <cell r="U26">
            <v>6</v>
          </cell>
          <cell r="V26">
            <v>6</v>
          </cell>
          <cell r="W26">
            <v>6</v>
          </cell>
          <cell r="X26">
            <v>6</v>
          </cell>
          <cell r="Y26">
            <v>6</v>
          </cell>
          <cell r="Z26">
            <v>6</v>
          </cell>
          <cell r="AA26">
            <v>6</v>
          </cell>
          <cell r="AB26">
            <v>6</v>
          </cell>
          <cell r="AC26">
            <v>6</v>
          </cell>
          <cell r="AD26">
            <v>6</v>
          </cell>
          <cell r="AE26">
            <v>6</v>
          </cell>
          <cell r="AF26">
            <v>6</v>
          </cell>
          <cell r="AG26">
            <v>6</v>
          </cell>
          <cell r="AH26">
            <v>6</v>
          </cell>
          <cell r="AI26">
            <v>6</v>
          </cell>
          <cell r="AJ26">
            <v>6</v>
          </cell>
          <cell r="AK26">
            <v>6</v>
          </cell>
        </row>
        <row r="27">
          <cell r="A27" t="str">
            <v>Available Hours</v>
          </cell>
          <cell r="B27">
            <v>504</v>
          </cell>
          <cell r="C27">
            <v>504</v>
          </cell>
          <cell r="D27">
            <v>504</v>
          </cell>
          <cell r="E27">
            <v>504</v>
          </cell>
          <cell r="F27">
            <v>524</v>
          </cell>
          <cell r="G27">
            <v>524</v>
          </cell>
          <cell r="H27">
            <v>684</v>
          </cell>
          <cell r="I27">
            <v>684</v>
          </cell>
          <cell r="J27">
            <v>684</v>
          </cell>
          <cell r="K27">
            <v>844</v>
          </cell>
          <cell r="L27">
            <v>844</v>
          </cell>
          <cell r="M27">
            <v>864</v>
          </cell>
          <cell r="N27">
            <v>1024</v>
          </cell>
          <cell r="O27">
            <v>1024</v>
          </cell>
          <cell r="P27">
            <v>1024</v>
          </cell>
          <cell r="Q27">
            <v>1184</v>
          </cell>
          <cell r="R27">
            <v>1184</v>
          </cell>
          <cell r="S27">
            <v>1184</v>
          </cell>
          <cell r="T27">
            <v>1184</v>
          </cell>
          <cell r="U27">
            <v>1184</v>
          </cell>
          <cell r="V27">
            <v>1184</v>
          </cell>
          <cell r="W27">
            <v>1184</v>
          </cell>
          <cell r="X27">
            <v>1184</v>
          </cell>
          <cell r="Y27">
            <v>1184</v>
          </cell>
          <cell r="Z27">
            <v>1184</v>
          </cell>
          <cell r="AA27">
            <v>1184</v>
          </cell>
          <cell r="AB27">
            <v>1184</v>
          </cell>
          <cell r="AC27">
            <v>1184</v>
          </cell>
          <cell r="AD27">
            <v>1184</v>
          </cell>
          <cell r="AE27">
            <v>1184</v>
          </cell>
          <cell r="AF27">
            <v>1184</v>
          </cell>
          <cell r="AG27">
            <v>1184</v>
          </cell>
          <cell r="AH27">
            <v>1184</v>
          </cell>
          <cell r="AI27">
            <v>1184</v>
          </cell>
          <cell r="AJ27">
            <v>1184</v>
          </cell>
          <cell r="AK27">
            <v>1184</v>
          </cell>
        </row>
        <row r="28">
          <cell r="A28" t="str">
            <v>Visits</v>
          </cell>
          <cell r="B28">
            <v>570.5606368159207</v>
          </cell>
          <cell r="C28">
            <v>593.4885970149254</v>
          </cell>
          <cell r="D28">
            <v>586.04226865671671</v>
          </cell>
          <cell r="E28">
            <v>669.658706467662</v>
          </cell>
          <cell r="F28">
            <v>709.85024875621923</v>
          </cell>
          <cell r="G28">
            <v>697.32250746268664</v>
          </cell>
          <cell r="H28">
            <v>1048.5409950248757</v>
          </cell>
          <cell r="I28">
            <v>1047.0385074626863</v>
          </cell>
          <cell r="J28">
            <v>1112.7603184079605</v>
          </cell>
          <cell r="K28">
            <v>1295.081174129353</v>
          </cell>
          <cell r="L28">
            <v>1364.54568159204</v>
          </cell>
          <cell r="M28">
            <v>1462.6896716417907</v>
          </cell>
          <cell r="N28">
            <v>1643.1444378109456</v>
          </cell>
          <cell r="O28">
            <v>1635.3675621890548</v>
          </cell>
          <cell r="P28">
            <v>1697.7869054726368</v>
          </cell>
          <cell r="Q28">
            <v>1569.2629174129352</v>
          </cell>
          <cell r="R28">
            <v>1663.0229492537312</v>
          </cell>
          <cell r="S28">
            <v>1739.9286766169155</v>
          </cell>
          <cell r="T28">
            <v>1780.5078606965174</v>
          </cell>
          <cell r="U28">
            <v>1746.5564497512441</v>
          </cell>
          <cell r="V28">
            <v>1726.1033870646766</v>
          </cell>
          <cell r="W28">
            <v>1863.1446766169154</v>
          </cell>
          <cell r="X28">
            <v>1913.9143323383087</v>
          </cell>
          <cell r="Y28">
            <v>1904.3056238805973</v>
          </cell>
          <cell r="Z28">
            <v>1904.3056238805973</v>
          </cell>
          <cell r="AA28">
            <v>1904.3056238805973</v>
          </cell>
          <cell r="AB28">
            <v>1904.3056238805973</v>
          </cell>
          <cell r="AC28">
            <v>1904.3056238805973</v>
          </cell>
          <cell r="AD28">
            <v>1904.3056238805973</v>
          </cell>
          <cell r="AE28">
            <v>1904.3056238805973</v>
          </cell>
          <cell r="AF28">
            <v>1904.3056238805973</v>
          </cell>
          <cell r="AG28">
            <v>1904.3056238805973</v>
          </cell>
          <cell r="AH28">
            <v>1904.3056238805973</v>
          </cell>
          <cell r="AI28">
            <v>1904.3056238805973</v>
          </cell>
          <cell r="AJ28">
            <v>1904.3056238805973</v>
          </cell>
          <cell r="AK28">
            <v>1904.3056238805973</v>
          </cell>
        </row>
        <row r="29">
          <cell r="A29" t="str">
            <v>Net Revenue</v>
          </cell>
          <cell r="B29">
            <v>810224.34671279881</v>
          </cell>
          <cell r="C29">
            <v>496088.74853379262</v>
          </cell>
          <cell r="D29">
            <v>598864.99022273545</v>
          </cell>
          <cell r="E29">
            <v>916837.87106523477</v>
          </cell>
          <cell r="F29">
            <v>1042157.1793640798</v>
          </cell>
          <cell r="G29">
            <v>849006.29456053069</v>
          </cell>
          <cell r="H29">
            <v>965155.30240172718</v>
          </cell>
          <cell r="I29">
            <v>1039940.7012842033</v>
          </cell>
          <cell r="J29">
            <v>1007844.2704539662</v>
          </cell>
          <cell r="K29">
            <v>569862.77263030224</v>
          </cell>
          <cell r="L29">
            <v>794470.49975310732</v>
          </cell>
          <cell r="M29">
            <v>1982793.3651490237</v>
          </cell>
          <cell r="N29">
            <v>2143297.1333110854</v>
          </cell>
          <cell r="O29">
            <v>1623275.7380899624</v>
          </cell>
          <cell r="P29">
            <v>1735056.130997841</v>
          </cell>
          <cell r="Q29">
            <v>1518846.974182701</v>
          </cell>
          <cell r="R29">
            <v>1859635.8502700515</v>
          </cell>
          <cell r="S29">
            <v>2458658.7125056237</v>
          </cell>
          <cell r="T29">
            <v>983032.39388495695</v>
          </cell>
          <cell r="U29">
            <v>3131687.4746643384</v>
          </cell>
          <cell r="V29">
            <v>1434229.6544635179</v>
          </cell>
          <cell r="W29">
            <v>1507310.9498320934</v>
          </cell>
          <cell r="X29">
            <v>3131848.0221800101</v>
          </cell>
          <cell r="Y29">
            <v>1107792.8482724207</v>
          </cell>
          <cell r="Z29">
            <v>1107792.8482724207</v>
          </cell>
          <cell r="AA29">
            <v>1107792.8482724207</v>
          </cell>
          <cell r="AB29">
            <v>1107792.8482724207</v>
          </cell>
          <cell r="AC29">
            <v>1107792.8482724207</v>
          </cell>
          <cell r="AD29">
            <v>1107792.8482724207</v>
          </cell>
          <cell r="AE29">
            <v>1107792.8482724207</v>
          </cell>
          <cell r="AF29">
            <v>1107792.8482724207</v>
          </cell>
          <cell r="AG29">
            <v>1107792.8482724207</v>
          </cell>
          <cell r="AH29">
            <v>1107792.8482724207</v>
          </cell>
          <cell r="AI29">
            <v>1107792.8482724207</v>
          </cell>
          <cell r="AJ29">
            <v>1107792.8482724207</v>
          </cell>
          <cell r="AK29">
            <v>1107792.8482724207</v>
          </cell>
        </row>
        <row r="30">
          <cell r="A30" t="str">
            <v>EBITDA</v>
          </cell>
          <cell r="B30">
            <v>382788.33411355963</v>
          </cell>
          <cell r="C30">
            <v>195309.95709137685</v>
          </cell>
          <cell r="D30">
            <v>227372.25695513931</v>
          </cell>
          <cell r="E30">
            <v>417572.03806577984</v>
          </cell>
          <cell r="F30">
            <v>528107.78777122917</v>
          </cell>
          <cell r="G30">
            <v>440318.69358761283</v>
          </cell>
          <cell r="H30">
            <v>396036.38817046949</v>
          </cell>
          <cell r="I30">
            <v>283714.04763016407</v>
          </cell>
          <cell r="J30">
            <v>417842.05600314058</v>
          </cell>
          <cell r="K30">
            <v>212959.48932686271</v>
          </cell>
          <cell r="L30">
            <v>274858.17087267124</v>
          </cell>
          <cell r="M30">
            <v>921349.30849020148</v>
          </cell>
          <cell r="N30">
            <v>908262.39513602224</v>
          </cell>
          <cell r="O30">
            <v>687280.56191080774</v>
          </cell>
          <cell r="P30">
            <v>814981.56785549223</v>
          </cell>
          <cell r="Q30">
            <v>477361.38109077513</v>
          </cell>
          <cell r="R30">
            <v>804361.81681849586</v>
          </cell>
          <cell r="S30">
            <v>865940.9297849111</v>
          </cell>
          <cell r="T30">
            <v>216030.1971794788</v>
          </cell>
          <cell r="U30">
            <v>1442699.6506568932</v>
          </cell>
          <cell r="V30">
            <v>478221.83643359394</v>
          </cell>
          <cell r="W30">
            <v>625280.13595294091</v>
          </cell>
          <cell r="X30">
            <v>1269574.639174456</v>
          </cell>
          <cell r="Y30">
            <v>446008.7992505338</v>
          </cell>
          <cell r="Z30">
            <v>446008.7992505338</v>
          </cell>
          <cell r="AA30">
            <v>446008.7992505338</v>
          </cell>
          <cell r="AB30">
            <v>446008.7992505338</v>
          </cell>
          <cell r="AC30">
            <v>446008.7992505338</v>
          </cell>
          <cell r="AD30">
            <v>446008.7992505338</v>
          </cell>
          <cell r="AE30">
            <v>446008.7992505338</v>
          </cell>
          <cell r="AF30">
            <v>446008.7992505338</v>
          </cell>
          <cell r="AG30">
            <v>446008.7992505338</v>
          </cell>
          <cell r="AH30">
            <v>446008.7992505338</v>
          </cell>
          <cell r="AI30">
            <v>446008.7992505338</v>
          </cell>
          <cell r="AJ30">
            <v>446008.7992505338</v>
          </cell>
          <cell r="AK30">
            <v>446008.7992505338</v>
          </cell>
        </row>
        <row r="31">
          <cell r="A31" t="str">
            <v>Net Income</v>
          </cell>
          <cell r="B31">
            <v>191394.16705677981</v>
          </cell>
          <cell r="C31">
            <v>97654.978545688427</v>
          </cell>
          <cell r="D31">
            <v>113686.12847756965</v>
          </cell>
          <cell r="E31">
            <v>208786.01903288992</v>
          </cell>
          <cell r="F31">
            <v>264053.89388561458</v>
          </cell>
          <cell r="G31">
            <v>220159.34679380641</v>
          </cell>
          <cell r="H31">
            <v>198018.19408523475</v>
          </cell>
          <cell r="I31">
            <v>141857.02381508204</v>
          </cell>
          <cell r="J31">
            <v>208921.02800157029</v>
          </cell>
          <cell r="K31">
            <v>106479.74466343135</v>
          </cell>
          <cell r="L31">
            <v>137429.08543633562</v>
          </cell>
          <cell r="M31">
            <v>460674.65424510074</v>
          </cell>
          <cell r="N31">
            <v>454131.19756801112</v>
          </cell>
          <cell r="O31">
            <v>343640.28095540387</v>
          </cell>
          <cell r="P31">
            <v>407490.78392774612</v>
          </cell>
          <cell r="Q31">
            <v>238680.69054538757</v>
          </cell>
          <cell r="R31">
            <v>402180.90840924793</v>
          </cell>
          <cell r="S31">
            <v>432970.46489245555</v>
          </cell>
          <cell r="T31">
            <v>108015.0985897394</v>
          </cell>
          <cell r="U31">
            <v>721349.82532844658</v>
          </cell>
          <cell r="V31">
            <v>239110.91821679697</v>
          </cell>
          <cell r="W31">
            <v>312640.06797647045</v>
          </cell>
          <cell r="X31">
            <v>634787.319587228</v>
          </cell>
          <cell r="Y31">
            <v>223004.3996252669</v>
          </cell>
          <cell r="Z31">
            <v>223004.3996252669</v>
          </cell>
          <cell r="AA31">
            <v>223004.3996252669</v>
          </cell>
          <cell r="AB31">
            <v>223004.3996252669</v>
          </cell>
          <cell r="AC31">
            <v>223004.3996252669</v>
          </cell>
          <cell r="AD31">
            <v>223004.3996252669</v>
          </cell>
          <cell r="AE31">
            <v>223004.3996252669</v>
          </cell>
          <cell r="AF31">
            <v>223004.3996252669</v>
          </cell>
          <cell r="AG31">
            <v>223004.3996252669</v>
          </cell>
          <cell r="AH31">
            <v>223004.3996252669</v>
          </cell>
          <cell r="AI31">
            <v>223004.3996252669</v>
          </cell>
          <cell r="AJ31">
            <v>223004.3996252669</v>
          </cell>
          <cell r="AK31">
            <v>223004.3996252669</v>
          </cell>
        </row>
        <row r="32">
          <cell r="A32" t="str">
            <v>Free Cash Flow</v>
          </cell>
          <cell r="B32">
            <v>178397.91759414825</v>
          </cell>
          <cell r="C32">
            <v>101865.42193901315</v>
          </cell>
          <cell r="D32">
            <v>116775.35825932617</v>
          </cell>
          <cell r="E32">
            <v>231965.72455697163</v>
          </cell>
          <cell r="F32">
            <v>201444.42001690736</v>
          </cell>
          <cell r="G32">
            <v>171911.6308386898</v>
          </cell>
          <cell r="H32">
            <v>233494.97149674821</v>
          </cell>
          <cell r="I32">
            <v>222375.52114606588</v>
          </cell>
          <cell r="J32">
            <v>237590.44340542913</v>
          </cell>
          <cell r="K32">
            <v>122501.26648084406</v>
          </cell>
          <cell r="L32">
            <v>175816.80994884291</v>
          </cell>
          <cell r="M32">
            <v>407791.7201967148</v>
          </cell>
          <cell r="N32">
            <v>271600.18388536962</v>
          </cell>
          <cell r="O32">
            <v>291096.10267890809</v>
          </cell>
          <cell r="P32">
            <v>315898.24468878773</v>
          </cell>
          <cell r="Q32">
            <v>330782.60671434551</v>
          </cell>
          <cell r="R32">
            <v>342280.29890346911</v>
          </cell>
          <cell r="S32">
            <v>568675.42882085871</v>
          </cell>
          <cell r="T32">
            <v>169408.21107508877</v>
          </cell>
          <cell r="U32">
            <v>492171.07830628526</v>
          </cell>
          <cell r="V32">
            <v>299158.62245724234</v>
          </cell>
          <cell r="W32">
            <v>303100.88886355126</v>
          </cell>
          <cell r="X32">
            <v>665605.59246340895</v>
          </cell>
          <cell r="Y32">
            <v>215627.74769470718</v>
          </cell>
          <cell r="Z32">
            <v>215627.74769470718</v>
          </cell>
          <cell r="AA32">
            <v>215627.74769470718</v>
          </cell>
          <cell r="AB32">
            <v>215627.74769470718</v>
          </cell>
          <cell r="AC32">
            <v>215627.74769470718</v>
          </cell>
          <cell r="AD32">
            <v>215627.74769470718</v>
          </cell>
          <cell r="AE32">
            <v>215627.74769470718</v>
          </cell>
          <cell r="AF32">
            <v>215627.74769470718</v>
          </cell>
          <cell r="AG32">
            <v>215627.74769470718</v>
          </cell>
          <cell r="AH32">
            <v>215627.74769470718</v>
          </cell>
          <cell r="AI32">
            <v>215627.74769470718</v>
          </cell>
          <cell r="AJ32">
            <v>215627.74769470718</v>
          </cell>
          <cell r="AK32">
            <v>215627.74769470718</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row>
      </sheetData>
      <sheetData sheetId="11">
        <row r="2">
          <cell r="B2">
            <v>1</v>
          </cell>
        </row>
        <row r="5">
          <cell r="B5">
            <v>0</v>
          </cell>
        </row>
        <row r="6">
          <cell r="B6">
            <v>0</v>
          </cell>
        </row>
        <row r="7">
          <cell r="B7">
            <v>0</v>
          </cell>
        </row>
        <row r="11">
          <cell r="B11">
            <v>43676</v>
          </cell>
        </row>
        <row r="12">
          <cell r="B12">
            <v>43708</v>
          </cell>
        </row>
        <row r="13">
          <cell r="B13">
            <v>43496</v>
          </cell>
        </row>
        <row r="30">
          <cell r="A30">
            <v>5</v>
          </cell>
        </row>
      </sheetData>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B34pgntEgkLFMQQ96zLj_XijYwJJx8AuhfoN37k96I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EC41-5CE1-4D55-A4CE-AEA6717D1F06}">
  <sheetPr>
    <tabColor theme="5"/>
  </sheetPr>
  <dimension ref="A1:XFD45"/>
  <sheetViews>
    <sheetView showGridLines="0" tabSelected="1" zoomScale="110" zoomScaleNormal="110" workbookViewId="0">
      <pane xSplit="1" ySplit="3" topLeftCell="L13" activePane="bottomRight" state="frozen"/>
      <selection pane="topRight" activeCell="B1" sqref="B1"/>
      <selection pane="bottomLeft" activeCell="A4" sqref="A4"/>
      <selection pane="bottomRight" activeCell="A34" sqref="A34"/>
    </sheetView>
  </sheetViews>
  <sheetFormatPr defaultColWidth="8.85546875" defaultRowHeight="15" x14ac:dyDescent="0.25"/>
  <cols>
    <col min="1" max="1" width="37" customWidth="1"/>
    <col min="2" max="2" width="15" customWidth="1"/>
    <col min="3" max="3" width="14.42578125" customWidth="1"/>
    <col min="4" max="13" width="13.42578125" customWidth="1"/>
    <col min="14" max="25" width="13.42578125" bestFit="1" customWidth="1"/>
    <col min="26" max="26" width="12.140625" customWidth="1"/>
    <col min="27" max="37" width="12.85546875" customWidth="1"/>
  </cols>
  <sheetData>
    <row r="1" spans="1:16384" ht="19.5" x14ac:dyDescent="0.3">
      <c r="A1" s="41" t="s">
        <v>82</v>
      </c>
    </row>
    <row r="3" spans="1:16384" ht="15.75" thickBot="1" x14ac:dyDescent="0.3">
      <c r="A3" s="2" t="s">
        <v>0</v>
      </c>
      <c r="B3" s="3">
        <v>44012</v>
      </c>
      <c r="C3" s="3">
        <f>EOMONTH(B3,1)</f>
        <v>44043</v>
      </c>
      <c r="D3" s="3">
        <f t="shared" ref="D3:L3" si="0">EOMONTH(C3,1)</f>
        <v>44074</v>
      </c>
      <c r="E3" s="3">
        <f t="shared" si="0"/>
        <v>44104</v>
      </c>
      <c r="F3" s="3">
        <f>EOMONTH(E3,1)</f>
        <v>44135</v>
      </c>
      <c r="G3" s="3">
        <f t="shared" si="0"/>
        <v>44165</v>
      </c>
      <c r="H3" s="3">
        <f t="shared" si="0"/>
        <v>44196</v>
      </c>
      <c r="I3" s="3">
        <f t="shared" si="0"/>
        <v>44227</v>
      </c>
      <c r="J3" s="3">
        <f t="shared" si="0"/>
        <v>44255</v>
      </c>
      <c r="K3" s="3">
        <f t="shared" si="0"/>
        <v>44286</v>
      </c>
      <c r="L3" s="3">
        <f t="shared" si="0"/>
        <v>44316</v>
      </c>
      <c r="M3" s="3">
        <f>EOMONTH(L3,1)</f>
        <v>44347</v>
      </c>
      <c r="N3" s="3">
        <f t="shared" ref="N3:Z3" si="1">EOMONTH(M3,1)</f>
        <v>44377</v>
      </c>
      <c r="O3" s="3">
        <f t="shared" si="1"/>
        <v>44408</v>
      </c>
      <c r="P3" s="3">
        <f t="shared" si="1"/>
        <v>44439</v>
      </c>
      <c r="Q3" s="3">
        <f t="shared" si="1"/>
        <v>44469</v>
      </c>
      <c r="R3" s="3">
        <f t="shared" si="1"/>
        <v>44500</v>
      </c>
      <c r="S3" s="3">
        <f t="shared" si="1"/>
        <v>44530</v>
      </c>
      <c r="T3" s="3">
        <f t="shared" si="1"/>
        <v>44561</v>
      </c>
      <c r="U3" s="3">
        <f t="shared" si="1"/>
        <v>44592</v>
      </c>
      <c r="V3" s="3">
        <f t="shared" si="1"/>
        <v>44620</v>
      </c>
      <c r="W3" s="3">
        <f t="shared" si="1"/>
        <v>44651</v>
      </c>
      <c r="X3" s="3">
        <f t="shared" si="1"/>
        <v>44681</v>
      </c>
      <c r="Y3" s="3">
        <f t="shared" si="1"/>
        <v>44712</v>
      </c>
      <c r="Z3" s="3">
        <f t="shared" si="1"/>
        <v>44742</v>
      </c>
      <c r="AA3" s="3">
        <f t="shared" ref="AA3" si="2">EOMONTH(Z3,1)</f>
        <v>44773</v>
      </c>
      <c r="AB3" s="3">
        <f t="shared" ref="AB3" si="3">EOMONTH(AA3,1)</f>
        <v>44804</v>
      </c>
      <c r="AC3" s="3">
        <f t="shared" ref="AC3" si="4">EOMONTH(AB3,1)</f>
        <v>44834</v>
      </c>
      <c r="AD3" s="3">
        <f t="shared" ref="AD3" si="5">EOMONTH(AC3,1)</f>
        <v>44865</v>
      </c>
      <c r="AE3" s="3">
        <f t="shared" ref="AE3" si="6">EOMONTH(AD3,1)</f>
        <v>44895</v>
      </c>
      <c r="AF3" s="3">
        <f t="shared" ref="AF3" si="7">EOMONTH(AE3,1)</f>
        <v>44926</v>
      </c>
      <c r="AG3" s="3">
        <f t="shared" ref="AG3" si="8">EOMONTH(AF3,1)</f>
        <v>44957</v>
      </c>
      <c r="AH3" s="3">
        <f t="shared" ref="AH3" si="9">EOMONTH(AG3,1)</f>
        <v>44985</v>
      </c>
      <c r="AI3" s="3">
        <f t="shared" ref="AI3" si="10">EOMONTH(AH3,1)</f>
        <v>45016</v>
      </c>
      <c r="AJ3" s="3">
        <f t="shared" ref="AJ3" si="11">EOMONTH(AI3,1)</f>
        <v>45046</v>
      </c>
      <c r="AK3" s="3">
        <f t="shared" ref="AK3" si="12">EOMONTH(AJ3,1)</f>
        <v>45077</v>
      </c>
    </row>
    <row r="4" spans="1:16384" ht="15.75" x14ac:dyDescent="0.25">
      <c r="A4" t="str">
        <f>'working calculations'!A72</f>
        <v>Cash Balance</v>
      </c>
      <c r="B4" s="39">
        <f>'working calculations'!C72</f>
        <v>3500000</v>
      </c>
      <c r="C4" s="39">
        <f>'working calculations'!D72</f>
        <v>3571016</v>
      </c>
      <c r="D4" s="39">
        <f>'working calculations'!E72</f>
        <v>3652679</v>
      </c>
      <c r="E4" s="39">
        <f>'working calculations'!F72</f>
        <v>3745741</v>
      </c>
      <c r="F4" s="39">
        <f>'working calculations'!G72</f>
        <v>3850957</v>
      </c>
      <c r="G4" s="39">
        <f>'working calculations'!H72</f>
        <v>3969083</v>
      </c>
      <c r="H4" s="39">
        <f>'working calculations'!I72</f>
        <v>4099577</v>
      </c>
      <c r="I4" s="39">
        <f>'working calculations'!J72</f>
        <v>4244436</v>
      </c>
      <c r="J4" s="39">
        <f>'working calculations'!K72</f>
        <v>4404423</v>
      </c>
      <c r="K4" s="39">
        <f>'working calculations'!L72</f>
        <v>4580303</v>
      </c>
      <c r="L4" s="39">
        <f>'working calculations'!M72</f>
        <v>4772845</v>
      </c>
      <c r="M4" s="39">
        <f>'working calculations'!N72</f>
        <v>4982819</v>
      </c>
      <c r="N4" s="39">
        <f>'working calculations'!O72</f>
        <v>5210998</v>
      </c>
      <c r="O4" s="39">
        <f>'working calculations'!P72</f>
        <v>5458157</v>
      </c>
      <c r="P4" s="39">
        <f>'working calculations'!Q72</f>
        <v>5725073</v>
      </c>
      <c r="Q4" s="39">
        <f>'working calculations'!R72</f>
        <v>6012525</v>
      </c>
      <c r="R4" s="39">
        <f>'working calculations'!S72</f>
        <v>6321296</v>
      </c>
      <c r="S4" s="39">
        <f>'working calculations'!T72</f>
        <v>6652170</v>
      </c>
      <c r="T4" s="39">
        <f>'working calculations'!U72</f>
        <v>7005933</v>
      </c>
      <c r="U4" s="39">
        <f>'working calculations'!V72</f>
        <v>7383374</v>
      </c>
      <c r="V4" s="39">
        <f>'working calculations'!W72</f>
        <v>7785284</v>
      </c>
      <c r="W4" s="39">
        <f>'working calculations'!X72</f>
        <v>8212457</v>
      </c>
      <c r="X4" s="39">
        <f>'working calculations'!Y72</f>
        <v>8665688</v>
      </c>
      <c r="Y4" s="39">
        <f>'working calculations'!Z72</f>
        <v>9145776</v>
      </c>
      <c r="Z4" s="39"/>
      <c r="AA4" s="39"/>
      <c r="AB4" s="39"/>
      <c r="AC4" s="39"/>
      <c r="AD4" s="39"/>
      <c r="AE4" s="39"/>
      <c r="AF4" s="39"/>
      <c r="AG4" s="39"/>
      <c r="AH4" s="39"/>
      <c r="AI4" s="39"/>
      <c r="AJ4" s="39"/>
      <c r="AK4" s="39"/>
    </row>
    <row r="5" spans="1:16384" ht="15.75" x14ac:dyDescent="0.25">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row>
    <row r="6" spans="1:16384" ht="15.75" x14ac:dyDescent="0.25">
      <c r="A6" t="str">
        <f>'working calculations'!A74</f>
        <v>Location</v>
      </c>
      <c r="B6" s="9">
        <f>'working calculations'!C74</f>
        <v>2</v>
      </c>
      <c r="C6" s="9">
        <f>'working calculations'!D74</f>
        <v>2</v>
      </c>
      <c r="D6" s="9">
        <f>'working calculations'!E74</f>
        <v>2</v>
      </c>
      <c r="E6" s="9">
        <f>'working calculations'!F74</f>
        <v>2</v>
      </c>
      <c r="F6" s="9">
        <f>'working calculations'!G74</f>
        <v>2</v>
      </c>
      <c r="G6" s="9">
        <f>'working calculations'!H74</f>
        <v>2</v>
      </c>
      <c r="H6" s="9">
        <f>'working calculations'!I74</f>
        <v>2</v>
      </c>
      <c r="I6" s="9">
        <f>'working calculations'!J74</f>
        <v>2</v>
      </c>
      <c r="J6" s="9">
        <f>'working calculations'!K74</f>
        <v>2</v>
      </c>
      <c r="K6" s="9">
        <f>'working calculations'!L74</f>
        <v>2</v>
      </c>
      <c r="L6" s="9">
        <f>'working calculations'!M74</f>
        <v>2</v>
      </c>
      <c r="M6" s="9">
        <f>'working calculations'!N74</f>
        <v>2</v>
      </c>
      <c r="N6" s="9">
        <f>'working calculations'!O74</f>
        <v>2</v>
      </c>
      <c r="O6" s="9">
        <f>'working calculations'!P74</f>
        <v>2</v>
      </c>
      <c r="P6" s="9">
        <f>'working calculations'!Q74</f>
        <v>2</v>
      </c>
      <c r="Q6" s="9">
        <f>'working calculations'!R74</f>
        <v>2</v>
      </c>
      <c r="R6" s="9">
        <f>'working calculations'!S74</f>
        <v>2</v>
      </c>
      <c r="S6" s="9">
        <f>'working calculations'!T74</f>
        <v>2</v>
      </c>
      <c r="T6" s="9">
        <f>'working calculations'!U74</f>
        <v>2</v>
      </c>
      <c r="U6" s="9">
        <f>'working calculations'!V74</f>
        <v>2</v>
      </c>
      <c r="V6" s="9">
        <f>'working calculations'!W74</f>
        <v>2</v>
      </c>
      <c r="W6" s="9">
        <f>'working calculations'!X74</f>
        <v>2</v>
      </c>
      <c r="X6" s="9">
        <f>'working calculations'!Y74</f>
        <v>2</v>
      </c>
      <c r="Y6" s="9">
        <f>'working calculations'!Z74</f>
        <v>2</v>
      </c>
      <c r="Z6" s="39"/>
      <c r="AA6" s="39"/>
      <c r="AB6" s="39"/>
      <c r="AC6" s="39"/>
      <c r="AD6" s="39"/>
      <c r="AE6" s="39"/>
      <c r="AF6" s="39"/>
      <c r="AG6" s="39"/>
      <c r="AH6" s="39"/>
      <c r="AI6" s="39"/>
      <c r="AJ6" s="39"/>
      <c r="AK6" s="39"/>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c r="XFD6" s="30"/>
    </row>
    <row r="7" spans="1:16384" s="30" customFormat="1" ht="15.75" x14ac:dyDescent="0.25">
      <c r="A7" t="str">
        <f>'working calculations'!A75</f>
        <v>Exam Room Available Hours</v>
      </c>
      <c r="B7" s="9">
        <f>'working calculations'!C75</f>
        <v>1500</v>
      </c>
      <c r="C7" s="9">
        <f>'working calculations'!D75</f>
        <v>1515</v>
      </c>
      <c r="D7" s="9">
        <f>'working calculations'!E75</f>
        <v>1485</v>
      </c>
      <c r="E7" s="9">
        <f>'working calculations'!F75</f>
        <v>1440</v>
      </c>
      <c r="F7" s="9">
        <f>'working calculations'!G75</f>
        <v>1545</v>
      </c>
      <c r="G7" s="9">
        <f>'working calculations'!H75</f>
        <v>1320</v>
      </c>
      <c r="H7" s="9">
        <f>'working calculations'!I75</f>
        <v>1500</v>
      </c>
      <c r="I7" s="9">
        <f>'working calculations'!J75</f>
        <v>1425</v>
      </c>
      <c r="J7" s="9">
        <f>'working calculations'!K75</f>
        <v>1380</v>
      </c>
      <c r="K7" s="9">
        <f>'working calculations'!L75</f>
        <v>1560</v>
      </c>
      <c r="L7" s="9">
        <f>'working calculations'!M75</f>
        <v>1500</v>
      </c>
      <c r="M7" s="9">
        <f>'working calculations'!N75</f>
        <v>1425</v>
      </c>
      <c r="N7" s="9">
        <f>'working calculations'!O75</f>
        <v>1500</v>
      </c>
      <c r="O7" s="9">
        <f>'working calculations'!P75</f>
        <v>1485</v>
      </c>
      <c r="P7" s="9">
        <f>'working calculations'!Q75</f>
        <v>1500</v>
      </c>
      <c r="Q7" s="9">
        <f>'working calculations'!R75</f>
        <v>1440</v>
      </c>
      <c r="R7" s="9">
        <f>'working calculations'!S75</f>
        <v>1485</v>
      </c>
      <c r="S7" s="9">
        <f>'working calculations'!T75</f>
        <v>1380</v>
      </c>
      <c r="T7" s="9">
        <f>'working calculations'!U75</f>
        <v>1455</v>
      </c>
      <c r="U7" s="9">
        <f>'working calculations'!V75</f>
        <v>1380</v>
      </c>
      <c r="V7" s="9">
        <f>'working calculations'!W75</f>
        <v>1380</v>
      </c>
      <c r="W7" s="9">
        <f>'working calculations'!X75</f>
        <v>1560</v>
      </c>
      <c r="X7" s="9">
        <f>'working calculations'!Y75</f>
        <v>1485</v>
      </c>
      <c r="Y7" s="9">
        <f>'working calculations'!Z75</f>
        <v>1440</v>
      </c>
      <c r="Z7" s="39"/>
      <c r="AA7" s="39"/>
      <c r="AB7" s="39"/>
      <c r="AC7" s="39"/>
      <c r="AD7" s="39"/>
      <c r="AE7" s="39"/>
      <c r="AF7" s="39"/>
      <c r="AG7" s="39"/>
      <c r="AH7" s="39"/>
      <c r="AI7" s="39"/>
      <c r="AJ7" s="39"/>
      <c r="AK7" s="39"/>
    </row>
    <row r="8" spans="1:16384" ht="15.75" x14ac:dyDescent="0.25">
      <c r="A8" t="str">
        <f>'working calculations'!A76</f>
        <v>Exam Room Hours</v>
      </c>
      <c r="B8" s="9">
        <f>'working calculations'!C76</f>
        <v>4400</v>
      </c>
      <c r="C8" s="9">
        <f>'working calculations'!D76</f>
        <v>4400</v>
      </c>
      <c r="D8" s="9">
        <f>'working calculations'!E76</f>
        <v>4400</v>
      </c>
      <c r="E8" s="9">
        <f>'working calculations'!F76</f>
        <v>4400</v>
      </c>
      <c r="F8" s="9">
        <f>'working calculations'!G76</f>
        <v>4400</v>
      </c>
      <c r="G8" s="9">
        <f>'working calculations'!H76</f>
        <v>4400</v>
      </c>
      <c r="H8" s="9">
        <f>'working calculations'!I76</f>
        <v>4400</v>
      </c>
      <c r="I8" s="9">
        <f>'working calculations'!J76</f>
        <v>4400</v>
      </c>
      <c r="J8" s="9">
        <f>'working calculations'!K76</f>
        <v>4400</v>
      </c>
      <c r="K8" s="9">
        <f>'working calculations'!L76</f>
        <v>4400</v>
      </c>
      <c r="L8" s="9">
        <f>'working calculations'!M76</f>
        <v>4400</v>
      </c>
      <c r="M8" s="9">
        <f>'working calculations'!N76</f>
        <v>4400</v>
      </c>
      <c r="N8" s="9">
        <f>'working calculations'!O76</f>
        <v>4400</v>
      </c>
      <c r="O8" s="9">
        <f>'working calculations'!P76</f>
        <v>4400</v>
      </c>
      <c r="P8" s="9">
        <f>'working calculations'!Q76</f>
        <v>4400</v>
      </c>
      <c r="Q8" s="9">
        <f>'working calculations'!R76</f>
        <v>4400</v>
      </c>
      <c r="R8" s="9">
        <f>'working calculations'!S76</f>
        <v>4400</v>
      </c>
      <c r="S8" s="9">
        <f>'working calculations'!T76</f>
        <v>4400</v>
      </c>
      <c r="T8" s="9">
        <f>'working calculations'!U76</f>
        <v>4400</v>
      </c>
      <c r="U8" s="9">
        <f>'working calculations'!V76</f>
        <v>4400</v>
      </c>
      <c r="V8" s="9">
        <f>'working calculations'!W76</f>
        <v>4400</v>
      </c>
      <c r="W8" s="9">
        <f>'working calculations'!X76</f>
        <v>4400</v>
      </c>
      <c r="X8" s="9">
        <f>'working calculations'!Y76</f>
        <v>4400</v>
      </c>
      <c r="Y8" s="9">
        <f>'working calculations'!Z76</f>
        <v>4400</v>
      </c>
      <c r="Z8" s="39"/>
      <c r="AA8" s="39"/>
      <c r="AB8" s="39"/>
      <c r="AC8" s="39"/>
      <c r="AD8" s="39"/>
      <c r="AE8" s="39"/>
      <c r="AF8" s="39"/>
      <c r="AG8" s="39"/>
      <c r="AH8" s="39"/>
      <c r="AI8" s="39"/>
      <c r="AJ8" s="39"/>
      <c r="AK8" s="39"/>
    </row>
    <row r="9" spans="1:16384" ht="15.75" x14ac:dyDescent="0.25">
      <c r="A9" t="str">
        <f>'working calculations'!A77</f>
        <v>Exam Rooms</v>
      </c>
      <c r="B9" s="9">
        <f>'working calculations'!C77</f>
        <v>6</v>
      </c>
      <c r="C9" s="9">
        <f>'working calculations'!D77</f>
        <v>6</v>
      </c>
      <c r="D9" s="9">
        <f>'working calculations'!E77</f>
        <v>6</v>
      </c>
      <c r="E9" s="9">
        <f>'working calculations'!F77</f>
        <v>6</v>
      </c>
      <c r="F9" s="9">
        <f>'working calculations'!G77</f>
        <v>6</v>
      </c>
      <c r="G9" s="9">
        <f>'working calculations'!H77</f>
        <v>6</v>
      </c>
      <c r="H9" s="9">
        <f>'working calculations'!I77</f>
        <v>6</v>
      </c>
      <c r="I9" s="9">
        <f>'working calculations'!J77</f>
        <v>6</v>
      </c>
      <c r="J9" s="9">
        <f>'working calculations'!K77</f>
        <v>6</v>
      </c>
      <c r="K9" s="9">
        <f>'working calculations'!L77</f>
        <v>6</v>
      </c>
      <c r="L9" s="9">
        <f>'working calculations'!M77</f>
        <v>6</v>
      </c>
      <c r="M9" s="9">
        <f>'working calculations'!N77</f>
        <v>6</v>
      </c>
      <c r="N9" s="9">
        <f>'working calculations'!O77</f>
        <v>6</v>
      </c>
      <c r="O9" s="9">
        <f>'working calculations'!P77</f>
        <v>6</v>
      </c>
      <c r="P9" s="9">
        <f>'working calculations'!Q77</f>
        <v>6</v>
      </c>
      <c r="Q9" s="9">
        <f>'working calculations'!R77</f>
        <v>6</v>
      </c>
      <c r="R9" s="9">
        <f>'working calculations'!S77</f>
        <v>6</v>
      </c>
      <c r="S9" s="9">
        <f>'working calculations'!T77</f>
        <v>6</v>
      </c>
      <c r="T9" s="9">
        <f>'working calculations'!U77</f>
        <v>6</v>
      </c>
      <c r="U9" s="9">
        <f>'working calculations'!V77</f>
        <v>6</v>
      </c>
      <c r="V9" s="9">
        <f>'working calculations'!W77</f>
        <v>6</v>
      </c>
      <c r="W9" s="9">
        <f>'working calculations'!X77</f>
        <v>6</v>
      </c>
      <c r="X9" s="9">
        <f>'working calculations'!Y77</f>
        <v>6</v>
      </c>
      <c r="Y9" s="9">
        <f>'working calculations'!Z77</f>
        <v>6</v>
      </c>
      <c r="Z9" s="39"/>
      <c r="AA9" s="39"/>
      <c r="AB9" s="39"/>
      <c r="AC9" s="39"/>
      <c r="AD9" s="39"/>
      <c r="AE9" s="39"/>
      <c r="AF9" s="39"/>
      <c r="AG9" s="39"/>
      <c r="AH9" s="39"/>
      <c r="AI9" s="39"/>
      <c r="AJ9" s="39"/>
      <c r="AK9" s="39"/>
    </row>
    <row r="10" spans="1:16384" ht="15.75" x14ac:dyDescent="0.25">
      <c r="B10" s="9"/>
      <c r="C10" s="9"/>
      <c r="D10" s="9"/>
      <c r="E10" s="9"/>
      <c r="F10" s="9"/>
      <c r="G10" s="9"/>
      <c r="H10" s="9"/>
      <c r="I10" s="9"/>
      <c r="J10" s="9"/>
      <c r="K10" s="9"/>
      <c r="L10" s="9"/>
      <c r="M10" s="9"/>
      <c r="N10" s="9"/>
      <c r="O10" s="9"/>
      <c r="P10" s="9"/>
      <c r="Q10" s="9"/>
      <c r="R10" s="9"/>
      <c r="S10" s="9"/>
      <c r="T10" s="9"/>
      <c r="U10" s="9"/>
      <c r="V10" s="9"/>
      <c r="W10" s="9"/>
      <c r="X10" s="9"/>
      <c r="Y10" s="9"/>
      <c r="Z10" s="39"/>
      <c r="AA10" s="39"/>
      <c r="AB10" s="39"/>
      <c r="AC10" s="39"/>
      <c r="AD10" s="39"/>
      <c r="AE10" s="39"/>
      <c r="AF10" s="39"/>
      <c r="AG10" s="39"/>
      <c r="AH10" s="39"/>
      <c r="AI10" s="39"/>
      <c r="AJ10" s="39"/>
      <c r="AK10" s="39"/>
    </row>
    <row r="11" spans="1:16384" ht="15.75" x14ac:dyDescent="0.25">
      <c r="A11" t="str">
        <f>'working calculations'!A79</f>
        <v>Providers</v>
      </c>
      <c r="B11" s="9">
        <f>'working calculations'!C79</f>
        <v>8</v>
      </c>
      <c r="C11" s="9">
        <f>'working calculations'!D79</f>
        <v>8</v>
      </c>
      <c r="D11" s="9">
        <f>'working calculations'!E79</f>
        <v>8</v>
      </c>
      <c r="E11" s="9">
        <f>'working calculations'!F79</f>
        <v>8</v>
      </c>
      <c r="F11" s="9">
        <f>'working calculations'!G79</f>
        <v>8</v>
      </c>
      <c r="G11" s="9">
        <f>'working calculations'!H79</f>
        <v>8</v>
      </c>
      <c r="H11" s="9">
        <f>'working calculations'!I79</f>
        <v>8</v>
      </c>
      <c r="I11" s="9">
        <f>'working calculations'!J79</f>
        <v>8</v>
      </c>
      <c r="J11" s="9">
        <f>'working calculations'!K79</f>
        <v>8</v>
      </c>
      <c r="K11" s="9">
        <f>'working calculations'!L79</f>
        <v>8</v>
      </c>
      <c r="L11" s="9">
        <f>'working calculations'!M79</f>
        <v>8</v>
      </c>
      <c r="M11" s="9">
        <f>'working calculations'!N79</f>
        <v>8</v>
      </c>
      <c r="N11" s="9">
        <f>'working calculations'!O79</f>
        <v>8</v>
      </c>
      <c r="O11" s="9">
        <f>'working calculations'!P79</f>
        <v>8</v>
      </c>
      <c r="P11" s="9">
        <f>'working calculations'!Q79</f>
        <v>8</v>
      </c>
      <c r="Q11" s="9">
        <f>'working calculations'!R79</f>
        <v>8</v>
      </c>
      <c r="R11" s="9">
        <f>'working calculations'!S79</f>
        <v>8</v>
      </c>
      <c r="S11" s="9">
        <f>'working calculations'!T79</f>
        <v>8</v>
      </c>
      <c r="T11" s="9">
        <f>'working calculations'!U79</f>
        <v>8</v>
      </c>
      <c r="U11" s="9">
        <f>'working calculations'!V79</f>
        <v>8</v>
      </c>
      <c r="V11" s="9">
        <f>'working calculations'!W79</f>
        <v>8</v>
      </c>
      <c r="W11" s="9">
        <f>'working calculations'!X79</f>
        <v>8</v>
      </c>
      <c r="X11" s="9">
        <f>'working calculations'!Y79</f>
        <v>8</v>
      </c>
      <c r="Y11" s="9">
        <f>'working calculations'!Z79</f>
        <v>8</v>
      </c>
      <c r="Z11" s="39"/>
      <c r="AA11" s="39"/>
      <c r="AB11" s="39"/>
      <c r="AC11" s="39"/>
      <c r="AD11" s="39"/>
      <c r="AE11" s="39"/>
      <c r="AF11" s="39"/>
      <c r="AG11" s="39"/>
      <c r="AH11" s="39"/>
      <c r="AI11" s="39"/>
      <c r="AJ11" s="39"/>
      <c r="AK11" s="39"/>
    </row>
    <row r="12" spans="1:16384" ht="15.75" x14ac:dyDescent="0.25">
      <c r="A12" t="str">
        <f>'working calculations'!A80</f>
        <v>Medical Support Staff</v>
      </c>
      <c r="B12" s="9">
        <f>'working calculations'!C80</f>
        <v>35</v>
      </c>
      <c r="C12" s="9">
        <f>'working calculations'!D80</f>
        <v>35</v>
      </c>
      <c r="D12" s="9">
        <f>'working calculations'!E80</f>
        <v>35</v>
      </c>
      <c r="E12" s="9">
        <f>'working calculations'!F80</f>
        <v>35</v>
      </c>
      <c r="F12" s="9">
        <f>'working calculations'!G80</f>
        <v>35</v>
      </c>
      <c r="G12" s="9">
        <f>'working calculations'!H80</f>
        <v>35</v>
      </c>
      <c r="H12" s="9">
        <f>'working calculations'!I80</f>
        <v>35</v>
      </c>
      <c r="I12" s="9">
        <f>'working calculations'!J80</f>
        <v>35</v>
      </c>
      <c r="J12" s="9">
        <f>'working calculations'!K80</f>
        <v>35</v>
      </c>
      <c r="K12" s="9">
        <f>'working calculations'!L80</f>
        <v>35</v>
      </c>
      <c r="L12" s="9">
        <f>'working calculations'!M80</f>
        <v>35</v>
      </c>
      <c r="M12" s="9">
        <f>'working calculations'!N80</f>
        <v>35</v>
      </c>
      <c r="N12" s="9">
        <f>'working calculations'!O80</f>
        <v>35</v>
      </c>
      <c r="O12" s="9">
        <f>'working calculations'!P80</f>
        <v>35</v>
      </c>
      <c r="P12" s="9">
        <f>'working calculations'!Q80</f>
        <v>35</v>
      </c>
      <c r="Q12" s="9">
        <f>'working calculations'!R80</f>
        <v>35</v>
      </c>
      <c r="R12" s="9">
        <f>'working calculations'!S80</f>
        <v>35</v>
      </c>
      <c r="S12" s="9">
        <f>'working calculations'!T80</f>
        <v>35</v>
      </c>
      <c r="T12" s="9">
        <f>'working calculations'!U80</f>
        <v>35</v>
      </c>
      <c r="U12" s="9">
        <f>'working calculations'!V80</f>
        <v>35</v>
      </c>
      <c r="V12" s="9">
        <f>'working calculations'!W80</f>
        <v>35</v>
      </c>
      <c r="W12" s="9">
        <f>'working calculations'!X80</f>
        <v>35</v>
      </c>
      <c r="X12" s="9">
        <f>'working calculations'!Y80</f>
        <v>35</v>
      </c>
      <c r="Y12" s="9">
        <f>'working calculations'!Z80</f>
        <v>35</v>
      </c>
      <c r="Z12" s="39"/>
      <c r="AA12" s="39"/>
      <c r="AB12" s="39"/>
      <c r="AC12" s="39"/>
      <c r="AD12" s="39"/>
      <c r="AE12" s="39"/>
      <c r="AF12" s="39"/>
      <c r="AG12" s="39"/>
      <c r="AH12" s="39"/>
      <c r="AI12" s="39"/>
      <c r="AJ12" s="39"/>
      <c r="AK12" s="39"/>
    </row>
    <row r="13" spans="1:16384" ht="15.75" x14ac:dyDescent="0.25">
      <c r="A13" t="str">
        <f>'working calculations'!A81</f>
        <v>Staff Employees</v>
      </c>
      <c r="B13" s="9">
        <f>'working calculations'!C81</f>
        <v>17</v>
      </c>
      <c r="C13" s="9">
        <f>'working calculations'!D81</f>
        <v>17</v>
      </c>
      <c r="D13" s="9">
        <f>'working calculations'!E81</f>
        <v>17</v>
      </c>
      <c r="E13" s="9">
        <f>'working calculations'!F81</f>
        <v>17</v>
      </c>
      <c r="F13" s="9">
        <f>'working calculations'!G81</f>
        <v>17</v>
      </c>
      <c r="G13" s="9">
        <f>'working calculations'!H81</f>
        <v>17</v>
      </c>
      <c r="H13" s="9">
        <f>'working calculations'!I81</f>
        <v>17</v>
      </c>
      <c r="I13" s="9">
        <f>'working calculations'!J81</f>
        <v>17</v>
      </c>
      <c r="J13" s="9">
        <f>'working calculations'!K81</f>
        <v>17</v>
      </c>
      <c r="K13" s="9">
        <f>'working calculations'!L81</f>
        <v>17</v>
      </c>
      <c r="L13" s="9">
        <f>'working calculations'!M81</f>
        <v>17</v>
      </c>
      <c r="M13" s="9">
        <f>'working calculations'!N81</f>
        <v>17</v>
      </c>
      <c r="N13" s="9">
        <f>'working calculations'!O81</f>
        <v>17</v>
      </c>
      <c r="O13" s="9">
        <f>'working calculations'!P81</f>
        <v>17</v>
      </c>
      <c r="P13" s="9">
        <f>'working calculations'!Q81</f>
        <v>17</v>
      </c>
      <c r="Q13" s="9">
        <f>'working calculations'!R81</f>
        <v>17</v>
      </c>
      <c r="R13" s="9">
        <f>'working calculations'!S81</f>
        <v>17</v>
      </c>
      <c r="S13" s="9">
        <f>'working calculations'!T81</f>
        <v>17</v>
      </c>
      <c r="T13" s="9">
        <f>'working calculations'!U81</f>
        <v>17</v>
      </c>
      <c r="U13" s="9">
        <f>'working calculations'!V81</f>
        <v>17</v>
      </c>
      <c r="V13" s="9">
        <f>'working calculations'!W81</f>
        <v>17</v>
      </c>
      <c r="W13" s="9">
        <f>'working calculations'!X81</f>
        <v>17</v>
      </c>
      <c r="X13" s="9">
        <f>'working calculations'!Y81</f>
        <v>17</v>
      </c>
      <c r="Y13" s="9">
        <f>'working calculations'!Z81</f>
        <v>17</v>
      </c>
      <c r="Z13" s="39"/>
      <c r="AA13" s="39"/>
      <c r="AB13" s="39"/>
      <c r="AC13" s="39"/>
      <c r="AD13" s="39"/>
      <c r="AE13" s="39"/>
      <c r="AF13" s="39"/>
      <c r="AG13" s="39"/>
      <c r="AH13" s="39"/>
      <c r="AI13" s="39"/>
      <c r="AJ13" s="39"/>
      <c r="AK13" s="39"/>
    </row>
    <row r="14" spans="1:16384" ht="15.75" x14ac:dyDescent="0.25">
      <c r="A14" t="str">
        <f>'working calculations'!A82</f>
        <v>Total Employees</v>
      </c>
      <c r="B14" s="9">
        <f>'working calculations'!C82</f>
        <v>61</v>
      </c>
      <c r="C14" s="9">
        <f>'working calculations'!D82</f>
        <v>61</v>
      </c>
      <c r="D14" s="9">
        <f>'working calculations'!E82</f>
        <v>61</v>
      </c>
      <c r="E14" s="9">
        <f>'working calculations'!F82</f>
        <v>61</v>
      </c>
      <c r="F14" s="9">
        <f>'working calculations'!G82</f>
        <v>61</v>
      </c>
      <c r="G14" s="9">
        <f>'working calculations'!H82</f>
        <v>61</v>
      </c>
      <c r="H14" s="9">
        <f>'working calculations'!I82</f>
        <v>61</v>
      </c>
      <c r="I14" s="9">
        <f>'working calculations'!J82</f>
        <v>61</v>
      </c>
      <c r="J14" s="9">
        <f>'working calculations'!K82</f>
        <v>61</v>
      </c>
      <c r="K14" s="9">
        <f>'working calculations'!L82</f>
        <v>61</v>
      </c>
      <c r="L14" s="9">
        <f>'working calculations'!M82</f>
        <v>61</v>
      </c>
      <c r="M14" s="9">
        <f>'working calculations'!N82</f>
        <v>61</v>
      </c>
      <c r="N14" s="9">
        <f>'working calculations'!O82</f>
        <v>61</v>
      </c>
      <c r="O14" s="9">
        <f>'working calculations'!P82</f>
        <v>61</v>
      </c>
      <c r="P14" s="9">
        <f>'working calculations'!Q82</f>
        <v>61</v>
      </c>
      <c r="Q14" s="9">
        <f>'working calculations'!R82</f>
        <v>61</v>
      </c>
      <c r="R14" s="9">
        <f>'working calculations'!S82</f>
        <v>61</v>
      </c>
      <c r="S14" s="9">
        <f>'working calculations'!T82</f>
        <v>61</v>
      </c>
      <c r="T14" s="9">
        <f>'working calculations'!U82</f>
        <v>61</v>
      </c>
      <c r="U14" s="9">
        <f>'working calculations'!V82</f>
        <v>61</v>
      </c>
      <c r="V14" s="9">
        <f>'working calculations'!W82</f>
        <v>61</v>
      </c>
      <c r="W14" s="9">
        <f>'working calculations'!X82</f>
        <v>61</v>
      </c>
      <c r="X14" s="9">
        <f>'working calculations'!Y82</f>
        <v>61</v>
      </c>
      <c r="Y14" s="9">
        <f>'working calculations'!Z82</f>
        <v>61</v>
      </c>
      <c r="Z14" s="39"/>
      <c r="AA14" s="39"/>
      <c r="AB14" s="39"/>
      <c r="AC14" s="39"/>
      <c r="AD14" s="39"/>
      <c r="AE14" s="39"/>
      <c r="AF14" s="39"/>
      <c r="AG14" s="39"/>
      <c r="AH14" s="39"/>
      <c r="AI14" s="39"/>
      <c r="AJ14" s="39"/>
      <c r="AK14" s="39"/>
    </row>
    <row r="15" spans="1:16384" ht="15.75" x14ac:dyDescent="0.25">
      <c r="B15" s="9"/>
      <c r="C15" s="9"/>
      <c r="D15" s="9"/>
      <c r="E15" s="9"/>
      <c r="F15" s="9"/>
      <c r="G15" s="9"/>
      <c r="H15" s="9"/>
      <c r="I15" s="9"/>
      <c r="J15" s="9"/>
      <c r="K15" s="9"/>
      <c r="L15" s="9"/>
      <c r="M15" s="9"/>
      <c r="N15" s="9"/>
      <c r="O15" s="9"/>
      <c r="P15" s="9"/>
      <c r="Q15" s="9"/>
      <c r="R15" s="9"/>
      <c r="S15" s="9"/>
      <c r="T15" s="9"/>
      <c r="U15" s="9"/>
      <c r="V15" s="9"/>
      <c r="W15" s="9"/>
      <c r="X15" s="9"/>
      <c r="Y15" s="9"/>
      <c r="Z15" s="39"/>
      <c r="AA15" s="39"/>
      <c r="AB15" s="39"/>
      <c r="AC15" s="39"/>
      <c r="AD15" s="39"/>
      <c r="AE15" s="39"/>
      <c r="AF15" s="39"/>
      <c r="AG15" s="39"/>
      <c r="AH15" s="39"/>
      <c r="AI15" s="39"/>
      <c r="AJ15" s="39"/>
      <c r="AK15" s="39"/>
    </row>
    <row r="16" spans="1:16384" ht="15.75" x14ac:dyDescent="0.25">
      <c r="A16" t="str">
        <f>'working calculations'!A84</f>
        <v>Ad Dollars</v>
      </c>
      <c r="B16" s="39">
        <f>'working calculations'!C84</f>
        <v>35268</v>
      </c>
      <c r="C16" s="39">
        <f>'working calculations'!D84</f>
        <v>35620</v>
      </c>
      <c r="D16" s="39">
        <f>'working calculations'!E84</f>
        <v>35976</v>
      </c>
      <c r="E16" s="39">
        <f>'working calculations'!F84</f>
        <v>36335</v>
      </c>
      <c r="F16" s="39">
        <f>'working calculations'!G84</f>
        <v>36698</v>
      </c>
      <c r="G16" s="39">
        <f>'working calculations'!H84</f>
        <v>37064</v>
      </c>
      <c r="H16" s="39">
        <f>'working calculations'!I84</f>
        <v>37434</v>
      </c>
      <c r="I16" s="39">
        <f>'working calculations'!J84</f>
        <v>37808</v>
      </c>
      <c r="J16" s="39">
        <f>'working calculations'!K84</f>
        <v>38186</v>
      </c>
      <c r="K16" s="39">
        <f>'working calculations'!L84</f>
        <v>38567</v>
      </c>
      <c r="L16" s="39">
        <f>'working calculations'!M84</f>
        <v>38952</v>
      </c>
      <c r="M16" s="39">
        <f>'working calculations'!N84</f>
        <v>39341</v>
      </c>
      <c r="N16" s="39">
        <f>'working calculations'!O84</f>
        <v>39734</v>
      </c>
      <c r="O16" s="39">
        <f>'working calculations'!P84</f>
        <v>40131</v>
      </c>
      <c r="P16" s="39">
        <f>'working calculations'!Q84</f>
        <v>40532</v>
      </c>
      <c r="Q16" s="39">
        <f>'working calculations'!R84</f>
        <v>40937</v>
      </c>
      <c r="R16" s="39">
        <f>'working calculations'!S84</f>
        <v>41346</v>
      </c>
      <c r="S16" s="39">
        <f>'working calculations'!T84</f>
        <v>41759</v>
      </c>
      <c r="T16" s="39">
        <f>'working calculations'!U84</f>
        <v>42176</v>
      </c>
      <c r="U16" s="39">
        <f>'working calculations'!V84</f>
        <v>42597</v>
      </c>
      <c r="V16" s="39">
        <f>'working calculations'!W84</f>
        <v>43022</v>
      </c>
      <c r="W16" s="39">
        <f>'working calculations'!X84</f>
        <v>43452</v>
      </c>
      <c r="X16" s="39">
        <f>'working calculations'!Y84</f>
        <v>43886</v>
      </c>
      <c r="Y16" s="39">
        <f>'working calculations'!Z84</f>
        <v>44324</v>
      </c>
      <c r="Z16" s="39"/>
      <c r="AA16" s="39"/>
      <c r="AB16" s="39"/>
      <c r="AC16" s="39"/>
      <c r="AD16" s="39"/>
      <c r="AE16" s="39"/>
      <c r="AF16" s="39"/>
      <c r="AG16" s="39"/>
      <c r="AH16" s="39"/>
      <c r="AI16" s="39"/>
      <c r="AJ16" s="39"/>
      <c r="AK16" s="39"/>
    </row>
    <row r="17" spans="1:37" ht="15.75" x14ac:dyDescent="0.25">
      <c r="A17" t="str">
        <f>'working calculations'!A85</f>
        <v>Impressions</v>
      </c>
      <c r="B17" s="9">
        <f>'working calculations'!C85</f>
        <v>1852462</v>
      </c>
      <c r="C17" s="9">
        <f>'working calculations'!D85</f>
        <v>1870986</v>
      </c>
      <c r="D17" s="9">
        <f>'working calculations'!E85</f>
        <v>1889695</v>
      </c>
      <c r="E17" s="9">
        <f>'working calculations'!F85</f>
        <v>1908591</v>
      </c>
      <c r="F17" s="9">
        <f>'working calculations'!G85</f>
        <v>1927676</v>
      </c>
      <c r="G17" s="9">
        <f>'working calculations'!H85</f>
        <v>1946952</v>
      </c>
      <c r="H17" s="9">
        <f>'working calculations'!I85</f>
        <v>1966421</v>
      </c>
      <c r="I17" s="9">
        <f>'working calculations'!J85</f>
        <v>1986085</v>
      </c>
      <c r="J17" s="9">
        <f>'working calculations'!K85</f>
        <v>2005945</v>
      </c>
      <c r="K17" s="9">
        <f>'working calculations'!L85</f>
        <v>2026004</v>
      </c>
      <c r="L17" s="9">
        <f>'working calculations'!M85</f>
        <v>2046264</v>
      </c>
      <c r="M17" s="9">
        <f>'working calculations'!N85</f>
        <v>2066726</v>
      </c>
      <c r="N17" s="9">
        <f>'working calculations'!O85</f>
        <v>2087393</v>
      </c>
      <c r="O17" s="9">
        <f>'working calculations'!P85</f>
        <v>2108266</v>
      </c>
      <c r="P17" s="9">
        <f>'working calculations'!Q85</f>
        <v>2129348</v>
      </c>
      <c r="Q17" s="9">
        <f>'working calculations'!R85</f>
        <v>2150641</v>
      </c>
      <c r="R17" s="9">
        <f>'working calculations'!S85</f>
        <v>2172147</v>
      </c>
      <c r="S17" s="9">
        <f>'working calculations'!T85</f>
        <v>2193868</v>
      </c>
      <c r="T17" s="9">
        <f>'working calculations'!U85</f>
        <v>2215806</v>
      </c>
      <c r="U17" s="9">
        <f>'working calculations'!V85</f>
        <v>2237964</v>
      </c>
      <c r="V17" s="9">
        <f>'working calculations'!W85</f>
        <v>2260343</v>
      </c>
      <c r="W17" s="9">
        <f>'working calculations'!X85</f>
        <v>2282946</v>
      </c>
      <c r="X17" s="9">
        <f>'working calculations'!Y85</f>
        <v>2305775</v>
      </c>
      <c r="Y17" s="9">
        <f>'working calculations'!Z85</f>
        <v>2328832</v>
      </c>
      <c r="Z17" s="39"/>
      <c r="AA17" s="39"/>
      <c r="AB17" s="39"/>
      <c r="AC17" s="39"/>
      <c r="AD17" s="39"/>
      <c r="AE17" s="39"/>
      <c r="AF17" s="39"/>
      <c r="AG17" s="39"/>
      <c r="AH17" s="39"/>
      <c r="AI17" s="39"/>
      <c r="AJ17" s="39"/>
      <c r="AK17" s="39"/>
    </row>
    <row r="18" spans="1:37" ht="15.75" x14ac:dyDescent="0.25">
      <c r="A18" t="str">
        <f>'working calculations'!A86</f>
        <v>Clicks</v>
      </c>
      <c r="B18" s="9">
        <f>'working calculations'!C86</f>
        <v>29424</v>
      </c>
      <c r="C18" s="9">
        <f>'working calculations'!D86</f>
        <v>29865</v>
      </c>
      <c r="D18" s="9">
        <f>'working calculations'!E86</f>
        <v>30312</v>
      </c>
      <c r="E18" s="9">
        <f>'working calculations'!F86</f>
        <v>30766</v>
      </c>
      <c r="F18" s="9">
        <f>'working calculations'!G86</f>
        <v>31227</v>
      </c>
      <c r="G18" s="9">
        <f>'working calculations'!H86</f>
        <v>31695</v>
      </c>
      <c r="H18" s="9">
        <f>'working calculations'!I86</f>
        <v>32170</v>
      </c>
      <c r="I18" s="9">
        <f>'working calculations'!J86</f>
        <v>32652</v>
      </c>
      <c r="J18" s="9">
        <f>'working calculations'!K86</f>
        <v>33141</v>
      </c>
      <c r="K18" s="9">
        <f>'working calculations'!L86</f>
        <v>33638</v>
      </c>
      <c r="L18" s="9">
        <f>'working calculations'!M86</f>
        <v>34142</v>
      </c>
      <c r="M18" s="9">
        <f>'working calculations'!N86</f>
        <v>34654</v>
      </c>
      <c r="N18" s="9">
        <f>'working calculations'!O86</f>
        <v>35173</v>
      </c>
      <c r="O18" s="9">
        <f>'working calculations'!P86</f>
        <v>35700</v>
      </c>
      <c r="P18" s="9">
        <f>'working calculations'!Q86</f>
        <v>36235</v>
      </c>
      <c r="Q18" s="9">
        <f>'working calculations'!R86</f>
        <v>36778</v>
      </c>
      <c r="R18" s="9">
        <f>'working calculations'!S86</f>
        <v>37329</v>
      </c>
      <c r="S18" s="9">
        <f>'working calculations'!T86</f>
        <v>37888</v>
      </c>
      <c r="T18" s="9">
        <f>'working calculations'!U86</f>
        <v>38456</v>
      </c>
      <c r="U18" s="9">
        <f>'working calculations'!V86</f>
        <v>39032</v>
      </c>
      <c r="V18" s="9">
        <f>'working calculations'!W86</f>
        <v>39617</v>
      </c>
      <c r="W18" s="9">
        <f>'working calculations'!X86</f>
        <v>40211</v>
      </c>
      <c r="X18" s="9">
        <f>'working calculations'!Y86</f>
        <v>40814</v>
      </c>
      <c r="Y18" s="9">
        <f>'working calculations'!Z86</f>
        <v>41426</v>
      </c>
      <c r="Z18" s="39"/>
      <c r="AA18" s="39"/>
      <c r="AB18" s="39"/>
      <c r="AC18" s="39"/>
      <c r="AD18" s="39"/>
      <c r="AE18" s="39"/>
      <c r="AF18" s="39"/>
      <c r="AG18" s="39"/>
      <c r="AH18" s="39"/>
      <c r="AI18" s="39"/>
      <c r="AJ18" s="39"/>
      <c r="AK18" s="39"/>
    </row>
    <row r="19" spans="1:37" ht="15.75" x14ac:dyDescent="0.25">
      <c r="A19" t="str">
        <f>'working calculations'!A87</f>
        <v>Prospects</v>
      </c>
      <c r="B19" s="9">
        <f>'working calculations'!C87</f>
        <v>1351</v>
      </c>
      <c r="C19" s="9">
        <f>'working calculations'!D87</f>
        <v>1371</v>
      </c>
      <c r="D19" s="9">
        <f>'working calculations'!E87</f>
        <v>1391</v>
      </c>
      <c r="E19" s="9">
        <f>'working calculations'!F87</f>
        <v>1411</v>
      </c>
      <c r="F19" s="9">
        <f>'working calculations'!G87</f>
        <v>1432</v>
      </c>
      <c r="G19" s="9">
        <f>'working calculations'!H87</f>
        <v>1453</v>
      </c>
      <c r="H19" s="9">
        <f>'working calculations'!I87</f>
        <v>1474</v>
      </c>
      <c r="I19" s="9">
        <f>'working calculations'!J87</f>
        <v>1496</v>
      </c>
      <c r="J19" s="9">
        <f>'working calculations'!K87</f>
        <v>1518</v>
      </c>
      <c r="K19" s="9">
        <f>'working calculations'!L87</f>
        <v>1540</v>
      </c>
      <c r="L19" s="9">
        <f>'working calculations'!M87</f>
        <v>1563</v>
      </c>
      <c r="M19" s="9">
        <f>'working calculations'!N87</f>
        <v>1586</v>
      </c>
      <c r="N19" s="9">
        <f>'working calculations'!O87</f>
        <v>1609</v>
      </c>
      <c r="O19" s="9">
        <f>'working calculations'!P87</f>
        <v>1633</v>
      </c>
      <c r="P19" s="9">
        <f>'working calculations'!Q87</f>
        <v>1657</v>
      </c>
      <c r="Q19" s="9">
        <f>'working calculations'!R87</f>
        <v>1681</v>
      </c>
      <c r="R19" s="9">
        <f>'working calculations'!S87</f>
        <v>1706</v>
      </c>
      <c r="S19" s="9">
        <f>'working calculations'!T87</f>
        <v>1731</v>
      </c>
      <c r="T19" s="9">
        <f>'working calculations'!U87</f>
        <v>1756</v>
      </c>
      <c r="U19" s="9">
        <f>'working calculations'!V87</f>
        <v>1782</v>
      </c>
      <c r="V19" s="9">
        <f>'working calculations'!W87</f>
        <v>1808</v>
      </c>
      <c r="W19" s="9">
        <f>'working calculations'!X87</f>
        <v>1835</v>
      </c>
      <c r="X19" s="9">
        <f>'working calculations'!Y87</f>
        <v>1862</v>
      </c>
      <c r="Y19" s="9">
        <f>'working calculations'!Z87</f>
        <v>1889</v>
      </c>
      <c r="Z19" s="39"/>
      <c r="AA19" s="39"/>
      <c r="AB19" s="39"/>
      <c r="AC19" s="39"/>
      <c r="AD19" s="39"/>
      <c r="AE19" s="39"/>
      <c r="AF19" s="39"/>
      <c r="AG19" s="39"/>
      <c r="AH19" s="39"/>
      <c r="AI19" s="39"/>
      <c r="AJ19" s="39"/>
      <c r="AK19" s="39"/>
    </row>
    <row r="20" spans="1:37" ht="15.75" x14ac:dyDescent="0.25">
      <c r="A20" t="str">
        <f>'working calculations'!A88</f>
        <v>Leads</v>
      </c>
      <c r="B20" s="9">
        <f>'working calculations'!C88</f>
        <v>793</v>
      </c>
      <c r="C20" s="9">
        <f>'working calculations'!D88</f>
        <v>808</v>
      </c>
      <c r="D20" s="9">
        <f>'working calculations'!E88</f>
        <v>824</v>
      </c>
      <c r="E20" s="9">
        <f>'working calculations'!F88</f>
        <v>840</v>
      </c>
      <c r="F20" s="9">
        <f>'working calculations'!G88</f>
        <v>856</v>
      </c>
      <c r="G20" s="9">
        <f>'working calculations'!H88</f>
        <v>873</v>
      </c>
      <c r="H20" s="9">
        <f>'working calculations'!I88</f>
        <v>890</v>
      </c>
      <c r="I20" s="9">
        <f>'working calculations'!J88</f>
        <v>907</v>
      </c>
      <c r="J20" s="9">
        <f>'working calculations'!K88</f>
        <v>925</v>
      </c>
      <c r="K20" s="9">
        <f>'working calculations'!L88</f>
        <v>943</v>
      </c>
      <c r="L20" s="9">
        <f>'working calculations'!M88</f>
        <v>961</v>
      </c>
      <c r="M20" s="9">
        <f>'working calculations'!N88</f>
        <v>980</v>
      </c>
      <c r="N20" s="9">
        <f>'working calculations'!O88</f>
        <v>999</v>
      </c>
      <c r="O20" s="9">
        <f>'working calculations'!P88</f>
        <v>1018</v>
      </c>
      <c r="P20" s="9">
        <f>'working calculations'!Q88</f>
        <v>1038</v>
      </c>
      <c r="Q20" s="9">
        <f>'working calculations'!R88</f>
        <v>1058</v>
      </c>
      <c r="R20" s="9">
        <f>'working calculations'!S88</f>
        <v>1079</v>
      </c>
      <c r="S20" s="9">
        <f>'working calculations'!T88</f>
        <v>1100</v>
      </c>
      <c r="T20" s="9">
        <f>'working calculations'!U88</f>
        <v>1122</v>
      </c>
      <c r="U20" s="9">
        <f>'working calculations'!V88</f>
        <v>1144</v>
      </c>
      <c r="V20" s="9">
        <f>'working calculations'!W88</f>
        <v>1166</v>
      </c>
      <c r="W20" s="9">
        <f>'working calculations'!X88</f>
        <v>1189</v>
      </c>
      <c r="X20" s="9">
        <f>'working calculations'!Y88</f>
        <v>1212</v>
      </c>
      <c r="Y20" s="9">
        <f>'working calculations'!Z88</f>
        <v>1236</v>
      </c>
      <c r="Z20" s="39"/>
      <c r="AA20" s="39"/>
      <c r="AB20" s="39"/>
      <c r="AC20" s="39"/>
      <c r="AD20" s="39"/>
      <c r="AE20" s="39"/>
      <c r="AF20" s="39"/>
      <c r="AG20" s="39"/>
      <c r="AH20" s="39"/>
      <c r="AI20" s="39"/>
      <c r="AJ20" s="39"/>
      <c r="AK20" s="39"/>
    </row>
    <row r="21" spans="1:37" ht="15.75" x14ac:dyDescent="0.25">
      <c r="A21" t="str">
        <f>'working calculations'!A89</f>
        <v>Opportunities</v>
      </c>
      <c r="B21" s="9">
        <f>'working calculations'!C89</f>
        <v>176</v>
      </c>
      <c r="C21" s="9">
        <f>'working calculations'!D89</f>
        <v>179</v>
      </c>
      <c r="D21" s="9">
        <f>'working calculations'!E89</f>
        <v>182</v>
      </c>
      <c r="E21" s="9">
        <f>'working calculations'!F89</f>
        <v>185</v>
      </c>
      <c r="F21" s="9">
        <f>'working calculations'!G89</f>
        <v>188</v>
      </c>
      <c r="G21" s="9">
        <f>'working calculations'!H89</f>
        <v>191</v>
      </c>
      <c r="H21" s="9">
        <f>'working calculations'!I89</f>
        <v>194</v>
      </c>
      <c r="I21" s="9">
        <f>'working calculations'!J89</f>
        <v>197</v>
      </c>
      <c r="J21" s="9">
        <f>'working calculations'!K89</f>
        <v>200</v>
      </c>
      <c r="K21" s="9">
        <f>'working calculations'!L89</f>
        <v>204</v>
      </c>
      <c r="L21" s="9">
        <f>'working calculations'!M89</f>
        <v>208</v>
      </c>
      <c r="M21" s="9">
        <f>'working calculations'!N89</f>
        <v>212</v>
      </c>
      <c r="N21" s="9">
        <f>'working calculations'!O89</f>
        <v>216</v>
      </c>
      <c r="O21" s="9">
        <f>'working calculations'!P89</f>
        <v>220</v>
      </c>
      <c r="P21" s="9">
        <f>'working calculations'!Q89</f>
        <v>224</v>
      </c>
      <c r="Q21" s="9">
        <f>'working calculations'!R89</f>
        <v>228</v>
      </c>
      <c r="R21" s="9">
        <f>'working calculations'!S89</f>
        <v>232</v>
      </c>
      <c r="S21" s="9">
        <f>'working calculations'!T89</f>
        <v>236</v>
      </c>
      <c r="T21" s="9">
        <f>'working calculations'!U89</f>
        <v>240</v>
      </c>
      <c r="U21" s="9">
        <f>'working calculations'!V89</f>
        <v>244</v>
      </c>
      <c r="V21" s="9">
        <f>'working calculations'!W89</f>
        <v>248</v>
      </c>
      <c r="W21" s="9">
        <f>'working calculations'!X89</f>
        <v>252</v>
      </c>
      <c r="X21" s="9">
        <f>'working calculations'!Y89</f>
        <v>257</v>
      </c>
      <c r="Y21" s="9">
        <f>'working calculations'!Z89</f>
        <v>262</v>
      </c>
      <c r="Z21" s="39"/>
      <c r="AA21" s="39"/>
      <c r="AB21" s="39"/>
      <c r="AC21" s="39"/>
      <c r="AD21" s="39"/>
      <c r="AE21" s="39"/>
      <c r="AF21" s="39"/>
      <c r="AG21" s="39"/>
      <c r="AH21" s="39"/>
      <c r="AI21" s="39"/>
      <c r="AJ21" s="39"/>
      <c r="AK21" s="39"/>
    </row>
    <row r="22" spans="1:37" ht="15.75" x14ac:dyDescent="0.25">
      <c r="A22" t="str">
        <f>'working calculations'!A90</f>
        <v>New Visits</v>
      </c>
      <c r="B22" s="9">
        <f>'working calculations'!C90</f>
        <v>109</v>
      </c>
      <c r="C22" s="9">
        <f>'working calculations'!D90</f>
        <v>113</v>
      </c>
      <c r="D22" s="9">
        <f>'working calculations'!E90</f>
        <v>118</v>
      </c>
      <c r="E22" s="9">
        <f>'working calculations'!F90</f>
        <v>122</v>
      </c>
      <c r="F22" s="9">
        <f>'working calculations'!G90</f>
        <v>126</v>
      </c>
      <c r="G22" s="9">
        <f>'working calculations'!H90</f>
        <v>131</v>
      </c>
      <c r="H22" s="9">
        <f>'working calculations'!I90</f>
        <v>135</v>
      </c>
      <c r="I22" s="9">
        <f>'working calculations'!J90</f>
        <v>140</v>
      </c>
      <c r="J22" s="9">
        <f>'working calculations'!K90</f>
        <v>144</v>
      </c>
      <c r="K22" s="9">
        <f>'working calculations'!L90</f>
        <v>148</v>
      </c>
      <c r="L22" s="9">
        <f>'working calculations'!M90</f>
        <v>153</v>
      </c>
      <c r="M22" s="9">
        <f>'working calculations'!N90</f>
        <v>157</v>
      </c>
      <c r="N22" s="9">
        <f>'working calculations'!O90</f>
        <v>161</v>
      </c>
      <c r="O22" s="9">
        <f>'working calculations'!P90</f>
        <v>166</v>
      </c>
      <c r="P22" s="9">
        <f>'working calculations'!Q90</f>
        <v>170</v>
      </c>
      <c r="Q22" s="9">
        <f>'working calculations'!R90</f>
        <v>175</v>
      </c>
      <c r="R22" s="9">
        <f>'working calculations'!S90</f>
        <v>179</v>
      </c>
      <c r="S22" s="9">
        <f>'working calculations'!T90</f>
        <v>183</v>
      </c>
      <c r="T22" s="9">
        <f>'working calculations'!U90</f>
        <v>188</v>
      </c>
      <c r="U22" s="9">
        <f>'working calculations'!V90</f>
        <v>192</v>
      </c>
      <c r="V22" s="9">
        <f>'working calculations'!W90</f>
        <v>196</v>
      </c>
      <c r="W22" s="9">
        <f>'working calculations'!X90</f>
        <v>201</v>
      </c>
      <c r="X22" s="9">
        <f>'working calculations'!Y90</f>
        <v>205</v>
      </c>
      <c r="Y22" s="9">
        <f>'working calculations'!Z90</f>
        <v>210</v>
      </c>
      <c r="Z22" s="39"/>
      <c r="AA22" s="39"/>
      <c r="AB22" s="39"/>
      <c r="AC22" s="39"/>
      <c r="AD22" s="39"/>
      <c r="AE22" s="39"/>
      <c r="AF22" s="39"/>
      <c r="AG22" s="39"/>
      <c r="AH22" s="39"/>
      <c r="AI22" s="39"/>
      <c r="AJ22" s="39"/>
      <c r="AK22" s="39"/>
    </row>
    <row r="23" spans="1:37" ht="15.75" x14ac:dyDescent="0.25">
      <c r="A23" t="str">
        <f>'working calculations'!A91</f>
        <v>Visits</v>
      </c>
      <c r="B23" s="9">
        <f>'working calculations'!C91</f>
        <v>729.16666666666663</v>
      </c>
      <c r="C23" s="9">
        <f>'working calculations'!D91</f>
        <v>758.33333333333326</v>
      </c>
      <c r="D23" s="9">
        <f>'working calculations'!E91</f>
        <v>787.49999999999989</v>
      </c>
      <c r="E23" s="9">
        <f>'working calculations'!F91</f>
        <v>816.66666666666652</v>
      </c>
      <c r="F23" s="9">
        <f>'working calculations'!G91</f>
        <v>845.83333333333314</v>
      </c>
      <c r="G23" s="9">
        <f>'working calculations'!H91</f>
        <v>874.99999999999977</v>
      </c>
      <c r="H23" s="9">
        <f>'working calculations'!I91</f>
        <v>904.1666666666664</v>
      </c>
      <c r="I23" s="9">
        <f>'working calculations'!J91</f>
        <v>933.33333333333303</v>
      </c>
      <c r="J23" s="9">
        <f>'working calculations'!K91</f>
        <v>962.49999999999966</v>
      </c>
      <c r="K23" s="9">
        <f>'working calculations'!L91</f>
        <v>991.66666666666629</v>
      </c>
      <c r="L23" s="9">
        <f>'working calculations'!M91</f>
        <v>1020.8333333333329</v>
      </c>
      <c r="M23" s="9">
        <f>'working calculations'!N91</f>
        <v>1049.9999999999995</v>
      </c>
      <c r="N23" s="9">
        <f>'working calculations'!O91</f>
        <v>1079.1666666666663</v>
      </c>
      <c r="O23" s="9">
        <f>'working calculations'!P91</f>
        <v>1108.333333333333</v>
      </c>
      <c r="P23" s="9">
        <f>'working calculations'!Q91</f>
        <v>1137.4999999999998</v>
      </c>
      <c r="Q23" s="9">
        <f>'working calculations'!R91</f>
        <v>1166.6666666666665</v>
      </c>
      <c r="R23" s="9">
        <f>'working calculations'!S91</f>
        <v>1195.8333333333333</v>
      </c>
      <c r="S23" s="9">
        <f>'working calculations'!T91</f>
        <v>1225</v>
      </c>
      <c r="T23" s="9">
        <f>'working calculations'!U91</f>
        <v>1254.1666666666667</v>
      </c>
      <c r="U23" s="9">
        <f>'working calculations'!V91</f>
        <v>1283.3333333333335</v>
      </c>
      <c r="V23" s="9">
        <f>'working calculations'!W91</f>
        <v>1312.5000000000002</v>
      </c>
      <c r="W23" s="9">
        <f>'working calculations'!X91</f>
        <v>1341.666666666667</v>
      </c>
      <c r="X23" s="9">
        <f>'working calculations'!Y91</f>
        <v>1370.8333333333337</v>
      </c>
      <c r="Y23" s="9">
        <f>'working calculations'!Z91</f>
        <v>1400.0000000000005</v>
      </c>
      <c r="Z23" s="39"/>
      <c r="AA23" s="39"/>
      <c r="AB23" s="39"/>
      <c r="AC23" s="39"/>
      <c r="AD23" s="39"/>
      <c r="AE23" s="39"/>
      <c r="AF23" s="39"/>
      <c r="AG23" s="39"/>
      <c r="AH23" s="39"/>
      <c r="AI23" s="39"/>
      <c r="AJ23" s="39"/>
      <c r="AK23" s="39"/>
    </row>
    <row r="24" spans="1:37" ht="15.75" x14ac:dyDescent="0.25">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row>
    <row r="25" spans="1:37" ht="15.75" x14ac:dyDescent="0.25">
      <c r="A25" t="str">
        <f>'working calculations'!A93</f>
        <v>Patient Available Hours</v>
      </c>
      <c r="B25" s="9">
        <f>'working calculations'!C93</f>
        <v>555</v>
      </c>
      <c r="C25" s="9">
        <f>'working calculations'!D93</f>
        <v>555</v>
      </c>
      <c r="D25" s="9">
        <f>'working calculations'!E93</f>
        <v>555</v>
      </c>
      <c r="E25" s="9">
        <f>'working calculations'!F93</f>
        <v>555</v>
      </c>
      <c r="F25" s="9">
        <f>'working calculations'!G93</f>
        <v>555</v>
      </c>
      <c r="G25" s="9">
        <f>'working calculations'!H93</f>
        <v>555</v>
      </c>
      <c r="H25" s="9">
        <f>'working calculations'!I93</f>
        <v>555</v>
      </c>
      <c r="I25" s="9">
        <f>'working calculations'!J93</f>
        <v>555</v>
      </c>
      <c r="J25" s="9">
        <f>'working calculations'!K93</f>
        <v>555</v>
      </c>
      <c r="K25" s="9">
        <f>'working calculations'!L93</f>
        <v>555</v>
      </c>
      <c r="L25" s="9">
        <f>'working calculations'!M93</f>
        <v>555</v>
      </c>
      <c r="M25" s="9">
        <f>'working calculations'!N93</f>
        <v>555</v>
      </c>
      <c r="N25" s="9">
        <f>'working calculations'!O93</f>
        <v>555</v>
      </c>
      <c r="O25" s="9">
        <f>'working calculations'!P93</f>
        <v>555</v>
      </c>
      <c r="P25" s="9">
        <f>'working calculations'!Q93</f>
        <v>555</v>
      </c>
      <c r="Q25" s="9">
        <f>'working calculations'!R93</f>
        <v>555</v>
      </c>
      <c r="R25" s="9">
        <f>'working calculations'!S93</f>
        <v>555</v>
      </c>
      <c r="S25" s="9">
        <f>'working calculations'!T93</f>
        <v>555</v>
      </c>
      <c r="T25" s="9">
        <f>'working calculations'!U93</f>
        <v>555</v>
      </c>
      <c r="U25" s="9">
        <f>'working calculations'!V93</f>
        <v>555</v>
      </c>
      <c r="V25" s="9">
        <f>'working calculations'!W93</f>
        <v>555</v>
      </c>
      <c r="W25" s="9">
        <f>'working calculations'!X93</f>
        <v>555</v>
      </c>
      <c r="X25" s="9">
        <f>'working calculations'!Y93</f>
        <v>555</v>
      </c>
      <c r="Y25" s="9">
        <f>'working calculations'!Z93</f>
        <v>555</v>
      </c>
      <c r="Z25" s="39"/>
      <c r="AA25" s="39"/>
      <c r="AB25" s="39"/>
      <c r="AC25" s="39"/>
      <c r="AD25" s="39"/>
      <c r="AE25" s="39"/>
      <c r="AF25" s="39"/>
      <c r="AG25" s="39"/>
      <c r="AH25" s="39"/>
      <c r="AI25" s="39"/>
      <c r="AJ25" s="39"/>
      <c r="AK25" s="39"/>
    </row>
    <row r="26" spans="1:37" ht="15.75" x14ac:dyDescent="0.25">
      <c r="A26" t="str">
        <f>'working calculations'!A94</f>
        <v>Provider Available Hours</v>
      </c>
      <c r="B26" s="9">
        <f>'working calculations'!C94</f>
        <v>555</v>
      </c>
      <c r="C26" s="9">
        <f>'working calculations'!D94</f>
        <v>555</v>
      </c>
      <c r="D26" s="9">
        <f>'working calculations'!E94</f>
        <v>555</v>
      </c>
      <c r="E26" s="9">
        <f>'working calculations'!F94</f>
        <v>555</v>
      </c>
      <c r="F26" s="9">
        <f>'working calculations'!G94</f>
        <v>555</v>
      </c>
      <c r="G26" s="9">
        <f>'working calculations'!H94</f>
        <v>555</v>
      </c>
      <c r="H26" s="9">
        <f>'working calculations'!I94</f>
        <v>555</v>
      </c>
      <c r="I26" s="9">
        <f>'working calculations'!J94</f>
        <v>555</v>
      </c>
      <c r="J26" s="9">
        <f>'working calculations'!K94</f>
        <v>555</v>
      </c>
      <c r="K26" s="9">
        <f>'working calculations'!L94</f>
        <v>555</v>
      </c>
      <c r="L26" s="9">
        <f>'working calculations'!M94</f>
        <v>555</v>
      </c>
      <c r="M26" s="9">
        <f>'working calculations'!N94</f>
        <v>555</v>
      </c>
      <c r="N26" s="9">
        <f>'working calculations'!O94</f>
        <v>555</v>
      </c>
      <c r="O26" s="9">
        <f>'working calculations'!P94</f>
        <v>555</v>
      </c>
      <c r="P26" s="9">
        <f>'working calculations'!Q94</f>
        <v>555</v>
      </c>
      <c r="Q26" s="9">
        <f>'working calculations'!R94</f>
        <v>555</v>
      </c>
      <c r="R26" s="9">
        <f>'working calculations'!S94</f>
        <v>555</v>
      </c>
      <c r="S26" s="9">
        <f>'working calculations'!T94</f>
        <v>555</v>
      </c>
      <c r="T26" s="9">
        <f>'working calculations'!U94</f>
        <v>555</v>
      </c>
      <c r="U26" s="9">
        <f>'working calculations'!V94</f>
        <v>555</v>
      </c>
      <c r="V26" s="9">
        <f>'working calculations'!W94</f>
        <v>555</v>
      </c>
      <c r="W26" s="9">
        <f>'working calculations'!X94</f>
        <v>555</v>
      </c>
      <c r="X26" s="9">
        <f>'working calculations'!Y94</f>
        <v>555</v>
      </c>
      <c r="Y26" s="9">
        <f>'working calculations'!Z94</f>
        <v>555</v>
      </c>
      <c r="Z26" s="39"/>
      <c r="AA26" s="39"/>
      <c r="AB26" s="39"/>
      <c r="AC26" s="39"/>
      <c r="AD26" s="39"/>
      <c r="AE26" s="39"/>
      <c r="AF26" s="39"/>
      <c r="AG26" s="39"/>
      <c r="AH26" s="39"/>
      <c r="AI26" s="39"/>
      <c r="AJ26" s="39"/>
      <c r="AK26" s="39"/>
    </row>
    <row r="27" spans="1:37" ht="15.75" x14ac:dyDescent="0.25">
      <c r="A27" t="str">
        <f>'working calculations'!A95</f>
        <v>Actual Hours Worked</v>
      </c>
      <c r="B27" s="9">
        <f>'working calculations'!C95</f>
        <v>565</v>
      </c>
      <c r="C27" s="9">
        <f>'working calculations'!D95</f>
        <v>565</v>
      </c>
      <c r="D27" s="9">
        <f>'working calculations'!E95</f>
        <v>565</v>
      </c>
      <c r="E27" s="9">
        <f>'working calculations'!F95</f>
        <v>565</v>
      </c>
      <c r="F27" s="9">
        <f>'working calculations'!G95</f>
        <v>565</v>
      </c>
      <c r="G27" s="9">
        <f>'working calculations'!H95</f>
        <v>565</v>
      </c>
      <c r="H27" s="9">
        <f>'working calculations'!I95</f>
        <v>565</v>
      </c>
      <c r="I27" s="9">
        <f>'working calculations'!J95</f>
        <v>565</v>
      </c>
      <c r="J27" s="9">
        <f>'working calculations'!K95</f>
        <v>565</v>
      </c>
      <c r="K27" s="9">
        <f>'working calculations'!L95</f>
        <v>565</v>
      </c>
      <c r="L27" s="9">
        <f>'working calculations'!M95</f>
        <v>565</v>
      </c>
      <c r="M27" s="9">
        <f>'working calculations'!N95</f>
        <v>565</v>
      </c>
      <c r="N27" s="9">
        <f>'working calculations'!O95</f>
        <v>565</v>
      </c>
      <c r="O27" s="9">
        <f>'working calculations'!P95</f>
        <v>565</v>
      </c>
      <c r="P27" s="9">
        <f>'working calculations'!Q95</f>
        <v>565</v>
      </c>
      <c r="Q27" s="9">
        <f>'working calculations'!R95</f>
        <v>565</v>
      </c>
      <c r="R27" s="9">
        <f>'working calculations'!S95</f>
        <v>565</v>
      </c>
      <c r="S27" s="9">
        <f>'working calculations'!T95</f>
        <v>565</v>
      </c>
      <c r="T27" s="9">
        <f>'working calculations'!U95</f>
        <v>565</v>
      </c>
      <c r="U27" s="9">
        <f>'working calculations'!V95</f>
        <v>565</v>
      </c>
      <c r="V27" s="9">
        <f>'working calculations'!W95</f>
        <v>565</v>
      </c>
      <c r="W27" s="9">
        <f>'working calculations'!X95</f>
        <v>565</v>
      </c>
      <c r="X27" s="9">
        <f>'working calculations'!Y95</f>
        <v>565</v>
      </c>
      <c r="Y27" s="9">
        <f>'working calculations'!Z95</f>
        <v>565</v>
      </c>
      <c r="Z27" s="39"/>
      <c r="AA27" s="39"/>
      <c r="AB27" s="39"/>
      <c r="AC27" s="39"/>
      <c r="AD27" s="39"/>
      <c r="AE27" s="39"/>
      <c r="AF27" s="39"/>
      <c r="AG27" s="39"/>
      <c r="AH27" s="39"/>
      <c r="AI27" s="39"/>
      <c r="AJ27" s="39"/>
      <c r="AK27" s="39"/>
    </row>
    <row r="28" spans="1:37" ht="15.75" x14ac:dyDescent="0.25">
      <c r="A28" t="str">
        <f>'working calculations'!A96</f>
        <v>Scheduled Hours</v>
      </c>
      <c r="B28" s="9">
        <f>'working calculations'!C96</f>
        <v>565</v>
      </c>
      <c r="C28" s="9">
        <f>'working calculations'!D96</f>
        <v>565</v>
      </c>
      <c r="D28" s="9">
        <f>'working calculations'!E96</f>
        <v>565</v>
      </c>
      <c r="E28" s="9">
        <f>'working calculations'!F96</f>
        <v>565</v>
      </c>
      <c r="F28" s="9">
        <f>'working calculations'!G96</f>
        <v>565</v>
      </c>
      <c r="G28" s="9">
        <f>'working calculations'!H96</f>
        <v>565</v>
      </c>
      <c r="H28" s="9">
        <f>'working calculations'!I96</f>
        <v>565</v>
      </c>
      <c r="I28" s="9">
        <f>'working calculations'!J96</f>
        <v>565</v>
      </c>
      <c r="J28" s="9">
        <f>'working calculations'!K96</f>
        <v>565</v>
      </c>
      <c r="K28" s="9">
        <f>'working calculations'!L96</f>
        <v>565</v>
      </c>
      <c r="L28" s="9">
        <f>'working calculations'!M96</f>
        <v>565</v>
      </c>
      <c r="M28" s="9">
        <f>'working calculations'!N96</f>
        <v>565</v>
      </c>
      <c r="N28" s="9">
        <f>'working calculations'!O96</f>
        <v>565</v>
      </c>
      <c r="O28" s="9">
        <f>'working calculations'!P96</f>
        <v>565</v>
      </c>
      <c r="P28" s="9">
        <f>'working calculations'!Q96</f>
        <v>565</v>
      </c>
      <c r="Q28" s="9">
        <f>'working calculations'!R96</f>
        <v>565</v>
      </c>
      <c r="R28" s="9">
        <f>'working calculations'!S96</f>
        <v>565</v>
      </c>
      <c r="S28" s="9">
        <f>'working calculations'!T96</f>
        <v>565</v>
      </c>
      <c r="T28" s="9">
        <f>'working calculations'!U96</f>
        <v>565</v>
      </c>
      <c r="U28" s="9">
        <f>'working calculations'!V96</f>
        <v>565</v>
      </c>
      <c r="V28" s="9">
        <f>'working calculations'!W96</f>
        <v>565</v>
      </c>
      <c r="W28" s="9">
        <f>'working calculations'!X96</f>
        <v>565</v>
      </c>
      <c r="X28" s="9">
        <f>'working calculations'!Y96</f>
        <v>565</v>
      </c>
      <c r="Y28" s="9">
        <f>'working calculations'!Z96</f>
        <v>565</v>
      </c>
      <c r="Z28" s="39"/>
      <c r="AA28" s="39"/>
      <c r="AB28" s="39"/>
      <c r="AC28" s="39"/>
      <c r="AD28" s="39"/>
      <c r="AE28" s="39"/>
      <c r="AF28" s="39"/>
      <c r="AG28" s="39"/>
      <c r="AH28" s="39"/>
      <c r="AI28" s="39"/>
      <c r="AJ28" s="39"/>
      <c r="AK28" s="39"/>
    </row>
    <row r="29" spans="1:37" ht="15.75" x14ac:dyDescent="0.25">
      <c r="A29" t="str">
        <f>'working calculations'!A97</f>
        <v>Provider</v>
      </c>
      <c r="B29" s="9">
        <f>'working calculations'!C97</f>
        <v>7</v>
      </c>
      <c r="C29" s="9">
        <f>'working calculations'!D97</f>
        <v>7</v>
      </c>
      <c r="D29" s="9">
        <f>'working calculations'!E97</f>
        <v>7</v>
      </c>
      <c r="E29" s="9">
        <f>'working calculations'!F97</f>
        <v>7</v>
      </c>
      <c r="F29" s="9">
        <f>'working calculations'!G97</f>
        <v>7</v>
      </c>
      <c r="G29" s="9">
        <f>'working calculations'!H97</f>
        <v>7</v>
      </c>
      <c r="H29" s="9">
        <f>'working calculations'!I97</f>
        <v>7</v>
      </c>
      <c r="I29" s="9">
        <f>'working calculations'!J97</f>
        <v>7</v>
      </c>
      <c r="J29" s="9">
        <f>'working calculations'!K97</f>
        <v>7</v>
      </c>
      <c r="K29" s="9">
        <f>'working calculations'!L97</f>
        <v>7</v>
      </c>
      <c r="L29" s="9">
        <f>'working calculations'!M97</f>
        <v>7</v>
      </c>
      <c r="M29" s="9">
        <f>'working calculations'!N97</f>
        <v>7</v>
      </c>
      <c r="N29" s="9">
        <f>'working calculations'!O97</f>
        <v>7</v>
      </c>
      <c r="O29" s="9">
        <f>'working calculations'!P97</f>
        <v>7</v>
      </c>
      <c r="P29" s="9">
        <f>'working calculations'!Q97</f>
        <v>7</v>
      </c>
      <c r="Q29" s="9">
        <f>'working calculations'!R97</f>
        <v>7</v>
      </c>
      <c r="R29" s="9">
        <f>'working calculations'!S97</f>
        <v>7</v>
      </c>
      <c r="S29" s="9">
        <f>'working calculations'!T97</f>
        <v>7</v>
      </c>
      <c r="T29" s="9">
        <f>'working calculations'!U97</f>
        <v>7</v>
      </c>
      <c r="U29" s="9">
        <f>'working calculations'!V97</f>
        <v>7</v>
      </c>
      <c r="V29" s="9">
        <f>'working calculations'!W97</f>
        <v>7</v>
      </c>
      <c r="W29" s="9">
        <f>'working calculations'!X97</f>
        <v>7</v>
      </c>
      <c r="X29" s="9">
        <f>'working calculations'!Y97</f>
        <v>7</v>
      </c>
      <c r="Y29" s="9">
        <f>'working calculations'!Z97</f>
        <v>7</v>
      </c>
      <c r="Z29" s="39"/>
      <c r="AA29" s="39"/>
      <c r="AB29" s="39"/>
      <c r="AC29" s="39"/>
      <c r="AD29" s="39"/>
      <c r="AE29" s="39"/>
      <c r="AF29" s="39"/>
      <c r="AG29" s="39"/>
      <c r="AH29" s="39"/>
      <c r="AI29" s="39"/>
      <c r="AJ29" s="39"/>
      <c r="AK29" s="39"/>
    </row>
    <row r="30" spans="1:37" ht="15.75" x14ac:dyDescent="0.25">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row>
    <row r="31" spans="1:37" ht="15.75" x14ac:dyDescent="0.25">
      <c r="A31" t="str">
        <f>'working calculations'!A99</f>
        <v>Net Revenue</v>
      </c>
      <c r="B31" s="39">
        <f>'working calculations'!C99</f>
        <v>1170671.6666666667</v>
      </c>
      <c r="C31" s="39">
        <f>'working calculations'!D99</f>
        <v>1260723.3333333335</v>
      </c>
      <c r="D31" s="39">
        <f>'working calculations'!E99</f>
        <v>1350775</v>
      </c>
      <c r="E31" s="39">
        <f>'working calculations'!F99</f>
        <v>1440826.666666667</v>
      </c>
      <c r="F31" s="39">
        <f>'working calculations'!G99</f>
        <v>1530878.3333333335</v>
      </c>
      <c r="G31" s="39">
        <f>'working calculations'!H99</f>
        <v>1604925.0000000002</v>
      </c>
      <c r="H31" s="39">
        <f>'working calculations'!I99</f>
        <v>1694976.6666666667</v>
      </c>
      <c r="I31" s="39">
        <f>'working calculations'!J99</f>
        <v>1785028.3333333335</v>
      </c>
      <c r="J31" s="39">
        <f>'working calculations'!K99</f>
        <v>1875080</v>
      </c>
      <c r="K31" s="39">
        <f>'working calculations'!L99</f>
        <v>1965131.6666666665</v>
      </c>
      <c r="L31" s="39">
        <f>'working calculations'!M99</f>
        <v>2055183.3333333333</v>
      </c>
      <c r="M31" s="39">
        <f>'working calculations'!N99</f>
        <v>2145235</v>
      </c>
      <c r="N31" s="39">
        <f>'working calculations'!O99</f>
        <v>2235286.666666666</v>
      </c>
      <c r="O31" s="39">
        <f>'working calculations'!P99</f>
        <v>2325338.333333333</v>
      </c>
      <c r="P31" s="39">
        <f>'working calculations'!Q99</f>
        <v>2415389.9999999995</v>
      </c>
      <c r="Q31" s="39">
        <f>'working calculations'!R99</f>
        <v>2505441.666666666</v>
      </c>
      <c r="R31" s="39">
        <f>'working calculations'!S99</f>
        <v>2595493.333333333</v>
      </c>
      <c r="S31" s="39">
        <f>'working calculations'!T99</f>
        <v>2685544.9999999991</v>
      </c>
      <c r="T31" s="39">
        <f>'working calculations'!U99</f>
        <v>2775596.666666666</v>
      </c>
      <c r="U31" s="39">
        <f>'working calculations'!V99</f>
        <v>2865648.3333333326</v>
      </c>
      <c r="V31" s="39">
        <f>'working calculations'!W99</f>
        <v>2955699.9999999991</v>
      </c>
      <c r="W31" s="39">
        <f>'working calculations'!X99</f>
        <v>3045751.6666666656</v>
      </c>
      <c r="X31" s="39">
        <f>'working calculations'!Y99</f>
        <v>3135803.3333333321</v>
      </c>
      <c r="Y31" s="39">
        <f>'working calculations'!Z99</f>
        <v>3209849.9999999991</v>
      </c>
      <c r="Z31" s="39"/>
      <c r="AA31" s="39"/>
      <c r="AB31" s="39"/>
      <c r="AC31" s="39"/>
      <c r="AD31" s="39"/>
      <c r="AE31" s="39"/>
      <c r="AF31" s="39"/>
      <c r="AG31" s="39"/>
      <c r="AH31" s="39"/>
      <c r="AI31" s="39"/>
      <c r="AJ31" s="39"/>
      <c r="AK31" s="39"/>
    </row>
    <row r="32" spans="1:37" ht="15.75" x14ac:dyDescent="0.25">
      <c r="A32" t="str">
        <f>'working calculations'!A100</f>
        <v>Gross Revenue</v>
      </c>
      <c r="B32" s="39">
        <f>'working calculations'!C100</f>
        <v>8194701.666666667</v>
      </c>
      <c r="C32" s="39">
        <f>'working calculations'!D100</f>
        <v>8825063.333333334</v>
      </c>
      <c r="D32" s="39">
        <f>'working calculations'!E100</f>
        <v>9455425</v>
      </c>
      <c r="E32" s="39">
        <f>'working calculations'!F100</f>
        <v>10085786.666666668</v>
      </c>
      <c r="F32" s="39">
        <f>'working calculations'!G100</f>
        <v>10716148.333333334</v>
      </c>
      <c r="G32" s="39">
        <f>'working calculations'!H100</f>
        <v>11234475.000000002</v>
      </c>
      <c r="H32" s="39">
        <f>'working calculations'!I100</f>
        <v>11864836.666666668</v>
      </c>
      <c r="I32" s="39">
        <f>'working calculations'!J100</f>
        <v>12495198.333333334</v>
      </c>
      <c r="J32" s="39">
        <f>'working calculations'!K100</f>
        <v>13125560</v>
      </c>
      <c r="K32" s="39">
        <f>'working calculations'!L100</f>
        <v>13755921.666666666</v>
      </c>
      <c r="L32" s="39">
        <f>'working calculations'!M100</f>
        <v>14386283.333333332</v>
      </c>
      <c r="M32" s="39">
        <f>'working calculations'!N100</f>
        <v>15016645</v>
      </c>
      <c r="N32" s="39">
        <f>'working calculations'!O100</f>
        <v>15647006.666666662</v>
      </c>
      <c r="O32" s="39">
        <f>'working calculations'!P100</f>
        <v>16277368.333333332</v>
      </c>
      <c r="P32" s="39">
        <f>'working calculations'!Q100</f>
        <v>16907729.999999996</v>
      </c>
      <c r="Q32" s="39">
        <f>'working calculations'!R100</f>
        <v>17538091.666666664</v>
      </c>
      <c r="R32" s="39">
        <f>'working calculations'!S100</f>
        <v>18168453.333333332</v>
      </c>
      <c r="S32" s="39">
        <f>'working calculations'!T100</f>
        <v>18798814.999999993</v>
      </c>
      <c r="T32" s="39">
        <f>'working calculations'!U100</f>
        <v>19429176.666666664</v>
      </c>
      <c r="U32" s="39">
        <f>'working calculations'!V100</f>
        <v>20059538.333333328</v>
      </c>
      <c r="V32" s="39">
        <f>'working calculations'!W100</f>
        <v>20689899.999999993</v>
      </c>
      <c r="W32" s="39">
        <f>'working calculations'!X100</f>
        <v>21320261.66666666</v>
      </c>
      <c r="X32" s="39">
        <f>'working calculations'!Y100</f>
        <v>21950623.333333325</v>
      </c>
      <c r="Y32" s="39">
        <f>'working calculations'!Z100</f>
        <v>22468949.999999993</v>
      </c>
      <c r="Z32" s="39"/>
      <c r="AA32" s="39"/>
      <c r="AB32" s="39"/>
      <c r="AC32" s="39"/>
      <c r="AD32" s="39"/>
      <c r="AE32" s="39"/>
      <c r="AF32" s="39"/>
      <c r="AG32" s="39"/>
      <c r="AH32" s="39"/>
      <c r="AI32" s="39"/>
      <c r="AJ32" s="39"/>
      <c r="AK32" s="39"/>
    </row>
    <row r="33" spans="1:37" ht="15.75" x14ac:dyDescent="0.25">
      <c r="A33" t="s">
        <v>277</v>
      </c>
      <c r="B33" s="9">
        <f>'working calculations'!C101</f>
        <v>4010</v>
      </c>
      <c r="C33" s="9">
        <f>'working calculations'!D101</f>
        <v>4170</v>
      </c>
      <c r="D33" s="9">
        <f>'working calculations'!E101</f>
        <v>4331</v>
      </c>
      <c r="E33" s="9">
        <f>'working calculations'!F101</f>
        <v>4491</v>
      </c>
      <c r="F33" s="9">
        <f>'working calculations'!G101</f>
        <v>4652</v>
      </c>
      <c r="G33" s="9">
        <f>'working calculations'!H101</f>
        <v>4812</v>
      </c>
      <c r="H33" s="9">
        <f>'working calculations'!I101</f>
        <v>4972</v>
      </c>
      <c r="I33" s="9">
        <f>'working calculations'!J101</f>
        <v>5133</v>
      </c>
      <c r="J33" s="9">
        <f>'working calculations'!K101</f>
        <v>5293</v>
      </c>
      <c r="K33" s="9">
        <f>'working calculations'!L101</f>
        <v>5454</v>
      </c>
      <c r="L33" s="9">
        <f>'working calculations'!M101</f>
        <v>5614</v>
      </c>
      <c r="M33" s="9">
        <f>'working calculations'!N101</f>
        <v>5775</v>
      </c>
      <c r="N33" s="9">
        <f>'working calculations'!O101</f>
        <v>5935</v>
      </c>
      <c r="O33" s="9">
        <f>'working calculations'!P101</f>
        <v>6095</v>
      </c>
      <c r="P33" s="9">
        <f>'working calculations'!Q101</f>
        <v>6256</v>
      </c>
      <c r="Q33" s="9">
        <f>'working calculations'!R101</f>
        <v>6416</v>
      </c>
      <c r="R33" s="9">
        <f>'working calculations'!S101</f>
        <v>6577</v>
      </c>
      <c r="S33" s="9">
        <f>'working calculations'!T101</f>
        <v>6737</v>
      </c>
      <c r="T33" s="9">
        <f>'working calculations'!U101</f>
        <v>6897</v>
      </c>
      <c r="U33" s="9">
        <f>'working calculations'!V101</f>
        <v>7058</v>
      </c>
      <c r="V33" s="9">
        <f>'working calculations'!W101</f>
        <v>7218</v>
      </c>
      <c r="W33" s="9">
        <f>'working calculations'!X101</f>
        <v>7379</v>
      </c>
      <c r="X33" s="9">
        <f>'working calculations'!Y101</f>
        <v>7539</v>
      </c>
      <c r="Y33" s="9">
        <f>'working calculations'!Z101</f>
        <v>7700</v>
      </c>
      <c r="Z33" s="39"/>
      <c r="AA33" s="39"/>
      <c r="AB33" s="39"/>
      <c r="AC33" s="39"/>
      <c r="AD33" s="39"/>
      <c r="AE33" s="39"/>
      <c r="AF33" s="39"/>
      <c r="AG33" s="39"/>
      <c r="AH33" s="39"/>
      <c r="AI33" s="39"/>
      <c r="AJ33" s="39"/>
      <c r="AK33" s="39"/>
    </row>
    <row r="34" spans="1:37" ht="15.75" x14ac:dyDescent="0.25">
      <c r="A34" t="s">
        <v>278</v>
      </c>
      <c r="B34" s="9">
        <f>'working calculations'!C102</f>
        <v>729.16666666666663</v>
      </c>
      <c r="C34" s="9">
        <f>'working calculations'!D102</f>
        <v>758.33333333333326</v>
      </c>
      <c r="D34" s="9">
        <f>'working calculations'!E102</f>
        <v>787.49999999999989</v>
      </c>
      <c r="E34" s="9">
        <f>'working calculations'!F102</f>
        <v>816.66666666666652</v>
      </c>
      <c r="F34" s="9">
        <f>'working calculations'!G102</f>
        <v>845.83333333333314</v>
      </c>
      <c r="G34" s="9">
        <f>'working calculations'!H102</f>
        <v>874.99999999999977</v>
      </c>
      <c r="H34" s="9">
        <f>'working calculations'!I102</f>
        <v>904.1666666666664</v>
      </c>
      <c r="I34" s="9">
        <f>'working calculations'!J102</f>
        <v>933.33333333333303</v>
      </c>
      <c r="J34" s="9">
        <f>'working calculations'!K102</f>
        <v>962.49999999999966</v>
      </c>
      <c r="K34" s="9">
        <f>'working calculations'!L102</f>
        <v>991.66666666666629</v>
      </c>
      <c r="L34" s="9">
        <f>'working calculations'!M102</f>
        <v>1020.8333333333329</v>
      </c>
      <c r="M34" s="9">
        <f>'working calculations'!N102</f>
        <v>1049.9999999999995</v>
      </c>
      <c r="N34" s="9">
        <f>'working calculations'!O102</f>
        <v>1079.1666666666663</v>
      </c>
      <c r="O34" s="9">
        <f>'working calculations'!P102</f>
        <v>1108.333333333333</v>
      </c>
      <c r="P34" s="9">
        <f>'working calculations'!Q102</f>
        <v>1137.4999999999998</v>
      </c>
      <c r="Q34" s="9">
        <f>'working calculations'!R102</f>
        <v>1166.6666666666665</v>
      </c>
      <c r="R34" s="9">
        <f>'working calculations'!S102</f>
        <v>1195.8333333333333</v>
      </c>
      <c r="S34" s="9">
        <f>'working calculations'!T102</f>
        <v>1225</v>
      </c>
      <c r="T34" s="9">
        <f>'working calculations'!U102</f>
        <v>1254.1666666666667</v>
      </c>
      <c r="U34" s="9">
        <f>'working calculations'!V102</f>
        <v>1283.3333333333335</v>
      </c>
      <c r="V34" s="9">
        <f>'working calculations'!W102</f>
        <v>1312.5000000000002</v>
      </c>
      <c r="W34" s="9">
        <f>'working calculations'!X102</f>
        <v>1341.666666666667</v>
      </c>
      <c r="X34" s="9">
        <f>'working calculations'!Y102</f>
        <v>1370.8333333333337</v>
      </c>
      <c r="Y34" s="9">
        <f>'working calculations'!Z102</f>
        <v>1400.0000000000005</v>
      </c>
      <c r="Z34" s="39"/>
      <c r="AA34" s="39"/>
      <c r="AB34" s="39"/>
      <c r="AC34" s="39"/>
      <c r="AD34" s="39"/>
      <c r="AE34" s="39"/>
      <c r="AF34" s="39"/>
      <c r="AG34" s="39"/>
      <c r="AH34" s="39"/>
      <c r="AI34" s="39"/>
      <c r="AJ34" s="39"/>
      <c r="AK34" s="39"/>
    </row>
    <row r="35" spans="1:37" ht="15.75" x14ac:dyDescent="0.25">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row>
    <row r="36" spans="1:37" ht="15.75" x14ac:dyDescent="0.25">
      <c r="A36" t="str">
        <f>'working calculations'!A104</f>
        <v>Net Income</v>
      </c>
      <c r="B36" s="39">
        <f>'working calculations'!C104</f>
        <v>278034.52083333331</v>
      </c>
      <c r="C36" s="39">
        <f>'working calculations'!D104</f>
        <v>299421.79166666669</v>
      </c>
      <c r="D36" s="39">
        <f>'working calculations'!E104</f>
        <v>320809.0625</v>
      </c>
      <c r="E36" s="39">
        <f>'working calculations'!F104</f>
        <v>342196.33333333337</v>
      </c>
      <c r="F36" s="39">
        <f>'working calculations'!G104</f>
        <v>363583.60416666669</v>
      </c>
      <c r="G36" s="39">
        <f>'working calculations'!H104</f>
        <v>381169.68750000006</v>
      </c>
      <c r="H36" s="39">
        <f>'working calculations'!I104</f>
        <v>402556.95833333331</v>
      </c>
      <c r="I36" s="39">
        <f>'working calculations'!J104</f>
        <v>423944.22916666669</v>
      </c>
      <c r="J36" s="39">
        <f>'working calculations'!K104</f>
        <v>445331.5</v>
      </c>
      <c r="K36" s="39">
        <f>'working calculations'!L104</f>
        <v>466718.77083333326</v>
      </c>
      <c r="L36" s="39">
        <f>'working calculations'!M104</f>
        <v>488106.04166666663</v>
      </c>
      <c r="M36" s="39">
        <f>'working calculations'!N104</f>
        <v>509493.3125</v>
      </c>
      <c r="N36" s="39">
        <f>'working calculations'!O104</f>
        <v>530880.58333333314</v>
      </c>
      <c r="O36" s="39">
        <f>'working calculations'!P104</f>
        <v>552267.85416666651</v>
      </c>
      <c r="P36" s="39">
        <f>'working calculations'!Q104</f>
        <v>573655.12499999988</v>
      </c>
      <c r="Q36" s="39">
        <f>'working calculations'!R104</f>
        <v>595042.39583333314</v>
      </c>
      <c r="R36" s="39">
        <f>'working calculations'!S104</f>
        <v>616429.66666666651</v>
      </c>
      <c r="S36" s="39">
        <f>'working calculations'!T104</f>
        <v>637816.93749999977</v>
      </c>
      <c r="T36" s="39">
        <f>'working calculations'!U104</f>
        <v>659204.20833333314</v>
      </c>
      <c r="U36" s="39">
        <f>'working calculations'!V104</f>
        <v>680591.4791666664</v>
      </c>
      <c r="V36" s="39">
        <f>'working calculations'!W104</f>
        <v>701978.74999999977</v>
      </c>
      <c r="W36" s="39">
        <f>'working calculations'!X104</f>
        <v>723366.02083333302</v>
      </c>
      <c r="X36" s="39">
        <f>'working calculations'!Y104</f>
        <v>744753.2916666664</v>
      </c>
      <c r="Y36" s="39">
        <f>'working calculations'!Z104</f>
        <v>762339.37499999977</v>
      </c>
      <c r="Z36" s="39"/>
      <c r="AA36" s="39"/>
      <c r="AB36" s="39"/>
      <c r="AC36" s="39"/>
      <c r="AD36" s="39"/>
      <c r="AE36" s="39"/>
      <c r="AF36" s="39"/>
      <c r="AG36" s="39"/>
      <c r="AH36" s="39"/>
      <c r="AI36" s="39"/>
      <c r="AJ36" s="39"/>
      <c r="AK36" s="39"/>
    </row>
    <row r="37" spans="1:37" ht="15.75" x14ac:dyDescent="0.25">
      <c r="A37" t="str">
        <f>'working calculations'!A105</f>
        <v>EBT</v>
      </c>
      <c r="B37" s="39">
        <f>'working calculations'!C105</f>
        <v>374011.63982360536</v>
      </c>
      <c r="C37" s="39">
        <f>'working calculations'!D105</f>
        <v>402781.76596388267</v>
      </c>
      <c r="D37" s="39">
        <f>'working calculations'!E105</f>
        <v>431551.89210415992</v>
      </c>
      <c r="E37" s="39">
        <f>'working calculations'!F105</f>
        <v>460322.01824443741</v>
      </c>
      <c r="F37" s="39">
        <f>'working calculations'!G105</f>
        <v>489092.14438471466</v>
      </c>
      <c r="G37" s="39">
        <f>'working calculations'!H105</f>
        <v>512748.91853585461</v>
      </c>
      <c r="H37" s="39">
        <f>'working calculations'!I105</f>
        <v>541519.04467613192</v>
      </c>
      <c r="I37" s="39">
        <f>'working calculations'!J105</f>
        <v>570289.17081640929</v>
      </c>
      <c r="J37" s="39">
        <f>'working calculations'!K105</f>
        <v>599059.29695668665</v>
      </c>
      <c r="K37" s="39">
        <f>'working calculations'!L105</f>
        <v>627829.42309696379</v>
      </c>
      <c r="L37" s="39">
        <f>'working calculations'!M105</f>
        <v>656599.54923724115</v>
      </c>
      <c r="M37" s="39">
        <f>'working calculations'!N105</f>
        <v>685369.67537751864</v>
      </c>
      <c r="N37" s="39">
        <f>'working calculations'!O105</f>
        <v>714139.80151779565</v>
      </c>
      <c r="O37" s="39">
        <f>'working calculations'!P105</f>
        <v>742909.92765807314</v>
      </c>
      <c r="P37" s="39">
        <f>'working calculations'!Q105</f>
        <v>771680.05379835051</v>
      </c>
      <c r="Q37" s="39">
        <f>'working calculations'!R105</f>
        <v>800450.17993862764</v>
      </c>
      <c r="R37" s="39">
        <f>'working calculations'!S105</f>
        <v>829220.30607890512</v>
      </c>
      <c r="S37" s="39">
        <f>'working calculations'!T105</f>
        <v>857990.43221918214</v>
      </c>
      <c r="T37" s="39">
        <f>'working calculations'!U105</f>
        <v>886760.55835945962</v>
      </c>
      <c r="U37" s="39">
        <f>'working calculations'!V105</f>
        <v>915530.68449973699</v>
      </c>
      <c r="V37" s="39">
        <f>'working calculations'!W105</f>
        <v>944300.81064001413</v>
      </c>
      <c r="W37" s="39">
        <f>'working calculations'!X105</f>
        <v>973070.93678029149</v>
      </c>
      <c r="X37" s="39">
        <f>'working calculations'!Y105</f>
        <v>1001841.0629205689</v>
      </c>
      <c r="Y37" s="39">
        <f>'working calculations'!Z105</f>
        <v>1025497.8370717089</v>
      </c>
      <c r="Z37" s="39"/>
      <c r="AA37" s="39"/>
      <c r="AB37" s="39"/>
      <c r="AC37" s="39"/>
      <c r="AD37" s="39"/>
      <c r="AE37" s="39"/>
      <c r="AF37" s="39"/>
      <c r="AG37" s="39"/>
      <c r="AH37" s="39"/>
      <c r="AI37" s="39"/>
      <c r="AJ37" s="39"/>
      <c r="AK37" s="39"/>
    </row>
    <row r="38" spans="1:37" ht="15.75" x14ac:dyDescent="0.25">
      <c r="A38" t="str">
        <f>'working calculations'!A106</f>
        <v>EBIT</v>
      </c>
      <c r="B38" s="39">
        <f>'working calculations'!C106</f>
        <v>343468.8282914033</v>
      </c>
      <c r="C38" s="39">
        <f>'working calculations'!D106</f>
        <v>369889.50739074202</v>
      </c>
      <c r="D38" s="39">
        <f>'working calculations'!E106</f>
        <v>396310.18649008067</v>
      </c>
      <c r="E38" s="39">
        <f>'working calculations'!F106</f>
        <v>422730.8655894195</v>
      </c>
      <c r="F38" s="39">
        <f>'working calculations'!G106</f>
        <v>449151.54468875815</v>
      </c>
      <c r="G38" s="39">
        <f>'working calculations'!H106</f>
        <v>470876.44208146643</v>
      </c>
      <c r="H38" s="39">
        <f>'working calculations'!I106</f>
        <v>497297.12118080514</v>
      </c>
      <c r="I38" s="39">
        <f>'working calculations'!J106</f>
        <v>523717.80028014386</v>
      </c>
      <c r="J38" s="39">
        <f>'working calculations'!K106</f>
        <v>550138.47937948257</v>
      </c>
      <c r="K38" s="39">
        <f>'working calculations'!L106</f>
        <v>576559.15847882116</v>
      </c>
      <c r="L38" s="39">
        <f>'working calculations'!M106</f>
        <v>602979.83757815987</v>
      </c>
      <c r="M38" s="39">
        <f>'working calculations'!N106</f>
        <v>629400.5166774987</v>
      </c>
      <c r="N38" s="39">
        <f>'working calculations'!O106</f>
        <v>655821.19577683718</v>
      </c>
      <c r="O38" s="39">
        <f>'working calculations'!P106</f>
        <v>682241.87487617601</v>
      </c>
      <c r="P38" s="39">
        <f>'working calculations'!Q106</f>
        <v>708662.55397551472</v>
      </c>
      <c r="Q38" s="39">
        <f>'working calculations'!R106</f>
        <v>735083.23307485331</v>
      </c>
      <c r="R38" s="39">
        <f>'working calculations'!S106</f>
        <v>761503.91217419214</v>
      </c>
      <c r="S38" s="39">
        <f>'working calculations'!T106</f>
        <v>787924.59127353062</v>
      </c>
      <c r="T38" s="39">
        <f>'working calculations'!U106</f>
        <v>814345.27037286945</v>
      </c>
      <c r="U38" s="39">
        <f>'working calculations'!V106</f>
        <v>840765.94947220816</v>
      </c>
      <c r="V38" s="39">
        <f>'working calculations'!W106</f>
        <v>867186.62857154675</v>
      </c>
      <c r="W38" s="39">
        <f>'working calculations'!X106</f>
        <v>893607.30767088546</v>
      </c>
      <c r="X38" s="39">
        <f>'working calculations'!Y106</f>
        <v>920027.98677022418</v>
      </c>
      <c r="Y38" s="39">
        <f>'working calculations'!Z106</f>
        <v>941752.88416293252</v>
      </c>
      <c r="Z38" s="39"/>
      <c r="AA38" s="39"/>
      <c r="AB38" s="39"/>
      <c r="AC38" s="39"/>
      <c r="AD38" s="39"/>
      <c r="AE38" s="39"/>
      <c r="AF38" s="39"/>
      <c r="AG38" s="39"/>
      <c r="AH38" s="39"/>
      <c r="AI38" s="39"/>
      <c r="AJ38" s="39"/>
      <c r="AK38" s="39"/>
    </row>
    <row r="39" spans="1:37" ht="15.75" x14ac:dyDescent="0.25">
      <c r="A39" t="str">
        <f>'working calculations'!A107</f>
        <v>EBITDA</v>
      </c>
      <c r="B39" s="39">
        <f>'working calculations'!C107</f>
        <v>292667.91666666669</v>
      </c>
      <c r="C39" s="39">
        <f>'working calculations'!D107</f>
        <v>315180.83333333337</v>
      </c>
      <c r="D39" s="39">
        <f>'working calculations'!E107</f>
        <v>337693.75</v>
      </c>
      <c r="E39" s="39">
        <f>'working calculations'!F107</f>
        <v>360206.66666666674</v>
      </c>
      <c r="F39" s="39">
        <f>'working calculations'!G107</f>
        <v>382719.58333333337</v>
      </c>
      <c r="G39" s="39">
        <f>'working calculations'!H107</f>
        <v>401231.25000000006</v>
      </c>
      <c r="H39" s="39">
        <f>'working calculations'!I107</f>
        <v>423744.16666666669</v>
      </c>
      <c r="I39" s="39">
        <f>'working calculations'!J107</f>
        <v>446257.08333333337</v>
      </c>
      <c r="J39" s="39">
        <f>'working calculations'!K107</f>
        <v>468770</v>
      </c>
      <c r="K39" s="39">
        <f>'working calculations'!L107</f>
        <v>491282.91666666663</v>
      </c>
      <c r="L39" s="39">
        <f>'working calculations'!M107</f>
        <v>513795.83333333331</v>
      </c>
      <c r="M39" s="39">
        <f>'working calculations'!N107</f>
        <v>536308.75</v>
      </c>
      <c r="N39" s="39">
        <f>'working calculations'!O107</f>
        <v>558821.66666666651</v>
      </c>
      <c r="O39" s="39">
        <f>'working calculations'!P107</f>
        <v>581334.58333333326</v>
      </c>
      <c r="P39" s="39">
        <f>'working calculations'!Q107</f>
        <v>603847.49999999988</v>
      </c>
      <c r="Q39" s="39">
        <f>'working calculations'!R107</f>
        <v>626360.41666666651</v>
      </c>
      <c r="R39" s="39">
        <f>'working calculations'!S107</f>
        <v>648873.33333333326</v>
      </c>
      <c r="S39" s="39">
        <f>'working calculations'!T107</f>
        <v>671386.24999999977</v>
      </c>
      <c r="T39" s="39">
        <f>'working calculations'!U107</f>
        <v>693899.16666666651</v>
      </c>
      <c r="U39" s="39">
        <f>'working calculations'!V107</f>
        <v>716412.08333333314</v>
      </c>
      <c r="V39" s="39">
        <f>'working calculations'!W107</f>
        <v>738924.99999999977</v>
      </c>
      <c r="W39" s="39">
        <f>'working calculations'!X107</f>
        <v>761437.9166666664</v>
      </c>
      <c r="X39" s="39">
        <f>'working calculations'!Y107</f>
        <v>783950.83333333302</v>
      </c>
      <c r="Y39" s="39">
        <f>'working calculations'!Z107</f>
        <v>802462.49999999977</v>
      </c>
      <c r="Z39" s="39"/>
      <c r="AA39" s="39"/>
      <c r="AB39" s="39"/>
      <c r="AC39" s="39"/>
      <c r="AD39" s="39"/>
      <c r="AE39" s="39"/>
      <c r="AF39" s="39"/>
      <c r="AG39" s="39"/>
      <c r="AH39" s="39"/>
      <c r="AI39" s="39"/>
      <c r="AJ39" s="39"/>
      <c r="AK39" s="39"/>
    </row>
    <row r="40" spans="1:37" ht="15.75" x14ac:dyDescent="0.25">
      <c r="A40" t="str">
        <f>'working calculations'!A108</f>
        <v>Free Cash Flow</v>
      </c>
      <c r="B40" s="39">
        <f>'working calculations'!C108</f>
        <v>118359.29551874999</v>
      </c>
      <c r="C40" s="39">
        <f>'working calculations'!D108</f>
        <v>127463.85671250001</v>
      </c>
      <c r="D40" s="39">
        <f>'working calculations'!E108</f>
        <v>136568.41790624999</v>
      </c>
      <c r="E40" s="39">
        <f>'working calculations'!F108</f>
        <v>145672.97910000003</v>
      </c>
      <c r="F40" s="39">
        <f>'working calculations'!G108</f>
        <v>154777.54029375</v>
      </c>
      <c r="G40" s="39">
        <f>'working calculations'!H108</f>
        <v>162263.93596875001</v>
      </c>
      <c r="H40" s="39">
        <f>'working calculations'!I108</f>
        <v>171368.49716249999</v>
      </c>
      <c r="I40" s="39">
        <f>'working calculations'!J108</f>
        <v>180473.05835625</v>
      </c>
      <c r="J40" s="39">
        <f>'working calculations'!K108</f>
        <v>189577.61955</v>
      </c>
      <c r="K40" s="39">
        <f>'working calculations'!L108</f>
        <v>198682.18074374998</v>
      </c>
      <c r="L40" s="39">
        <f>'working calculations'!M108</f>
        <v>207786.74193749999</v>
      </c>
      <c r="M40" s="39">
        <f>'working calculations'!N108</f>
        <v>216891.30313125</v>
      </c>
      <c r="N40" s="39">
        <f>'working calculations'!O108</f>
        <v>225995.86432499994</v>
      </c>
      <c r="O40" s="39">
        <f>'working calculations'!P108</f>
        <v>235100.42551874992</v>
      </c>
      <c r="P40" s="39">
        <f>'working calculations'!Q108</f>
        <v>244204.98671249993</v>
      </c>
      <c r="Q40" s="39">
        <f>'working calculations'!R108</f>
        <v>253309.54790624991</v>
      </c>
      <c r="R40" s="39">
        <f>'working calculations'!S108</f>
        <v>262414.10909999994</v>
      </c>
      <c r="S40" s="39">
        <f>'working calculations'!T108</f>
        <v>271518.67029374989</v>
      </c>
      <c r="T40" s="39">
        <f>'working calculations'!U108</f>
        <v>280623.2314874999</v>
      </c>
      <c r="U40" s="39">
        <f>'working calculations'!V108</f>
        <v>289727.79268124991</v>
      </c>
      <c r="V40" s="39">
        <f>'working calculations'!W108</f>
        <v>298832.35387499991</v>
      </c>
      <c r="W40" s="39">
        <f>'working calculations'!X108</f>
        <v>307936.91506874986</v>
      </c>
      <c r="X40" s="39">
        <f>'working calculations'!Y108</f>
        <v>317041.47626249987</v>
      </c>
      <c r="Y40" s="39">
        <f>'working calculations'!Z108</f>
        <v>324527.87193749985</v>
      </c>
      <c r="Z40" s="39"/>
      <c r="AA40" s="39"/>
      <c r="AB40" s="39"/>
      <c r="AC40" s="39"/>
      <c r="AD40" s="39"/>
      <c r="AE40" s="39"/>
      <c r="AF40" s="39"/>
      <c r="AG40" s="39"/>
      <c r="AH40" s="39"/>
      <c r="AI40" s="39"/>
      <c r="AJ40" s="39"/>
      <c r="AK40" s="39"/>
    </row>
    <row r="41" spans="1:37" ht="15.75" x14ac:dyDescent="0.25">
      <c r="A41" t="str">
        <f>'working calculations'!A109</f>
        <v>CFO</v>
      </c>
      <c r="B41" s="39">
        <f>'working calculations'!C109</f>
        <v>275254.17562499997</v>
      </c>
      <c r="C41" s="39">
        <f>'working calculations'!D109</f>
        <v>296427.57375000004</v>
      </c>
      <c r="D41" s="39">
        <f>'working calculations'!E109</f>
        <v>317600.97187499999</v>
      </c>
      <c r="E41" s="39">
        <f>'working calculations'!F109</f>
        <v>338774.37000000005</v>
      </c>
      <c r="F41" s="39">
        <f>'working calculations'!G109</f>
        <v>359947.768125</v>
      </c>
      <c r="G41" s="39">
        <f>'working calculations'!H109</f>
        <v>377357.99062500003</v>
      </c>
      <c r="H41" s="39">
        <f>'working calculations'!I109</f>
        <v>398531.38874999998</v>
      </c>
      <c r="I41" s="39">
        <f>'working calculations'!J109</f>
        <v>419704.78687499999</v>
      </c>
      <c r="J41" s="39">
        <f>'working calculations'!K109</f>
        <v>440878.185</v>
      </c>
      <c r="K41" s="39">
        <f>'working calculations'!L109</f>
        <v>462051.58312499995</v>
      </c>
      <c r="L41" s="39">
        <f>'working calculations'!M109</f>
        <v>483224.98124999995</v>
      </c>
      <c r="M41" s="39">
        <f>'working calculations'!N109</f>
        <v>504398.37937500002</v>
      </c>
      <c r="N41" s="39">
        <f>'working calculations'!O109</f>
        <v>525571.77749999985</v>
      </c>
      <c r="O41" s="39">
        <f>'working calculations'!P109</f>
        <v>546745.1756249998</v>
      </c>
      <c r="P41" s="39">
        <f>'working calculations'!Q109</f>
        <v>567918.57374999986</v>
      </c>
      <c r="Q41" s="39">
        <f>'working calculations'!R109</f>
        <v>589091.97187499981</v>
      </c>
      <c r="R41" s="39">
        <f>'working calculations'!S109</f>
        <v>610265.36999999988</v>
      </c>
      <c r="S41" s="39">
        <f>'working calculations'!T109</f>
        <v>631438.76812499971</v>
      </c>
      <c r="T41" s="39">
        <f>'working calculations'!U109</f>
        <v>652612.16624999978</v>
      </c>
      <c r="U41" s="39">
        <f>'working calculations'!V109</f>
        <v>673785.56437499973</v>
      </c>
      <c r="V41" s="39">
        <f>'working calculations'!W109</f>
        <v>694958.96249999979</v>
      </c>
      <c r="W41" s="39">
        <f>'working calculations'!X109</f>
        <v>716132.36062499974</v>
      </c>
      <c r="X41" s="39">
        <f>'working calculations'!Y109</f>
        <v>737305.75874999969</v>
      </c>
      <c r="Y41" s="39">
        <f>'working calculations'!Z109</f>
        <v>754715.98124999972</v>
      </c>
      <c r="Z41" s="39"/>
      <c r="AA41" s="39"/>
      <c r="AB41" s="39"/>
      <c r="AC41" s="39"/>
      <c r="AD41" s="39"/>
      <c r="AE41" s="39"/>
      <c r="AF41" s="39"/>
      <c r="AG41" s="39"/>
      <c r="AH41" s="39"/>
      <c r="AI41" s="39"/>
      <c r="AJ41" s="39"/>
      <c r="AK41" s="39"/>
    </row>
    <row r="42" spans="1:37" ht="15.75" x14ac:dyDescent="0.25">
      <c r="A42" t="str">
        <f>'working calculations'!A110</f>
        <v>CFI</v>
      </c>
      <c r="B42" s="39">
        <f>'working calculations'!C110</f>
        <v>-7851.92</v>
      </c>
      <c r="C42" s="39">
        <f>'working calculations'!D110</f>
        <v>-7851.92</v>
      </c>
      <c r="D42" s="39">
        <f>'working calculations'!E110</f>
        <v>-7851.92</v>
      </c>
      <c r="E42" s="39">
        <f>'working calculations'!F110</f>
        <v>-7851.92</v>
      </c>
      <c r="F42" s="39">
        <f>'working calculations'!G110</f>
        <v>-7851.92</v>
      </c>
      <c r="G42" s="39">
        <f>'working calculations'!H110</f>
        <v>-7851.92</v>
      </c>
      <c r="H42" s="39">
        <f>'working calculations'!I110</f>
        <v>-7851.92</v>
      </c>
      <c r="I42" s="39">
        <f>'working calculations'!J110</f>
        <v>-7851.92</v>
      </c>
      <c r="J42" s="39">
        <f>'working calculations'!K110</f>
        <v>-7851.92</v>
      </c>
      <c r="K42" s="39">
        <f>'working calculations'!L110</f>
        <v>-7851.92</v>
      </c>
      <c r="L42" s="39">
        <f>'working calculations'!M110</f>
        <v>-7851.92</v>
      </c>
      <c r="M42" s="39">
        <f>'working calculations'!N110</f>
        <v>-7851.92</v>
      </c>
      <c r="N42" s="39">
        <f>'working calculations'!O110</f>
        <v>-7851.92</v>
      </c>
      <c r="O42" s="39">
        <f>'working calculations'!P110</f>
        <v>-7851.92</v>
      </c>
      <c r="P42" s="39">
        <f>'working calculations'!Q110</f>
        <v>-7851.92</v>
      </c>
      <c r="Q42" s="39">
        <f>'working calculations'!R110</f>
        <v>-7851.92</v>
      </c>
      <c r="R42" s="39">
        <f>'working calculations'!S110</f>
        <v>-7851.92</v>
      </c>
      <c r="S42" s="39">
        <f>'working calculations'!T110</f>
        <v>-7851.92</v>
      </c>
      <c r="T42" s="39">
        <f>'working calculations'!U110</f>
        <v>-7851.92</v>
      </c>
      <c r="U42" s="39">
        <f>'working calculations'!V110</f>
        <v>-7851.92</v>
      </c>
      <c r="V42" s="39">
        <f>'working calculations'!W110</f>
        <v>-7851.92</v>
      </c>
      <c r="W42" s="39">
        <f>'working calculations'!X110</f>
        <v>-7851.92</v>
      </c>
      <c r="X42" s="39">
        <f>'working calculations'!Y110</f>
        <v>-7851.92</v>
      </c>
      <c r="Y42" s="39">
        <f>'working calculations'!Z110</f>
        <v>-7851.92</v>
      </c>
      <c r="Z42" s="39"/>
      <c r="AA42" s="39"/>
      <c r="AB42" s="39"/>
      <c r="AC42" s="39"/>
      <c r="AD42" s="39"/>
      <c r="AE42" s="39"/>
      <c r="AF42" s="39"/>
      <c r="AG42" s="39"/>
      <c r="AH42" s="39"/>
      <c r="AI42" s="39"/>
      <c r="AJ42" s="39"/>
      <c r="AK42" s="39"/>
    </row>
    <row r="43" spans="1:37" ht="15.75" x14ac:dyDescent="0.25">
      <c r="A43" t="str">
        <f>'working calculations'!A111</f>
        <v>CFO+CFI</v>
      </c>
      <c r="B43" s="39">
        <f>'working calculations'!C111</f>
        <v>267402.25562499999</v>
      </c>
      <c r="C43" s="39">
        <f>'working calculations'!D111</f>
        <v>288575.65375000006</v>
      </c>
      <c r="D43" s="39">
        <f>'working calculations'!E111</f>
        <v>309749.051875</v>
      </c>
      <c r="E43" s="39">
        <f>'working calculations'!F111</f>
        <v>330922.45000000007</v>
      </c>
      <c r="F43" s="39">
        <f>'working calculations'!G111</f>
        <v>352095.84812500002</v>
      </c>
      <c r="G43" s="39">
        <f>'working calculations'!H111</f>
        <v>369506.07062500005</v>
      </c>
      <c r="H43" s="39">
        <f>'working calculations'!I111</f>
        <v>390679.46875</v>
      </c>
      <c r="I43" s="39">
        <f>'working calculations'!J111</f>
        <v>411852.86687500001</v>
      </c>
      <c r="J43" s="39">
        <f>'working calculations'!K111</f>
        <v>433026.26500000001</v>
      </c>
      <c r="K43" s="39">
        <f>'working calculations'!L111</f>
        <v>454199.66312499996</v>
      </c>
      <c r="L43" s="39">
        <f>'working calculations'!M111</f>
        <v>475373.06124999997</v>
      </c>
      <c r="M43" s="39">
        <f>'working calculations'!N111</f>
        <v>496546.45937500003</v>
      </c>
      <c r="N43" s="39">
        <f>'working calculations'!O111</f>
        <v>517719.85749999987</v>
      </c>
      <c r="O43" s="39">
        <f>'working calculations'!P111</f>
        <v>538893.25562499976</v>
      </c>
      <c r="P43" s="39">
        <f>'working calculations'!Q111</f>
        <v>560066.65374999982</v>
      </c>
      <c r="Q43" s="39">
        <f>'working calculations'!R111</f>
        <v>581240.05187499977</v>
      </c>
      <c r="R43" s="39">
        <f>'working calculations'!S111</f>
        <v>602413.44999999984</v>
      </c>
      <c r="S43" s="39">
        <f>'working calculations'!T111</f>
        <v>623586.84812499967</v>
      </c>
      <c r="T43" s="39">
        <f>'working calculations'!U111</f>
        <v>644760.24624999973</v>
      </c>
      <c r="U43" s="39">
        <f>'working calculations'!V111</f>
        <v>665933.64437499968</v>
      </c>
      <c r="V43" s="39">
        <f>'working calculations'!W111</f>
        <v>687107.04249999975</v>
      </c>
      <c r="W43" s="39">
        <f>'working calculations'!X111</f>
        <v>708280.4406249997</v>
      </c>
      <c r="X43" s="39">
        <f>'working calculations'!Y111</f>
        <v>729453.83874999965</v>
      </c>
      <c r="Y43" s="39">
        <f>'working calculations'!Z111</f>
        <v>746864.06124999968</v>
      </c>
      <c r="Z43" s="39"/>
      <c r="AA43" s="39"/>
      <c r="AB43" s="39"/>
      <c r="AC43" s="39"/>
      <c r="AD43" s="39"/>
      <c r="AE43" s="39"/>
      <c r="AF43" s="39"/>
      <c r="AG43" s="39"/>
      <c r="AH43" s="39"/>
      <c r="AI43" s="39"/>
      <c r="AJ43" s="39"/>
      <c r="AK43" s="39"/>
    </row>
    <row r="44" spans="1:37" ht="15.75" x14ac:dyDescent="0.25">
      <c r="A44" t="str">
        <f>'working calculations'!A112</f>
        <v>CFO Additions to Working Capital</v>
      </c>
      <c r="B44" s="39">
        <f>'working calculations'!C112</f>
        <v>-711153.23658875399</v>
      </c>
      <c r="C44" s="39">
        <f>'working calculations'!D112</f>
        <v>-765857.33171096619</v>
      </c>
      <c r="D44" s="39">
        <f>'working calculations'!E112</f>
        <v>-820561.42683317792</v>
      </c>
      <c r="E44" s="39">
        <f>'working calculations'!F112</f>
        <v>-875265.52195538988</v>
      </c>
      <c r="F44" s="39">
        <f>'working calculations'!G112</f>
        <v>-929969.61707760161</v>
      </c>
      <c r="G44" s="39">
        <f>'working calculations'!H112</f>
        <v>-974951.08212710347</v>
      </c>
      <c r="H44" s="39">
        <f>'working calculations'!I112</f>
        <v>-1029655.1772493151</v>
      </c>
      <c r="I44" s="39">
        <f>'working calculations'!J112</f>
        <v>-1084359.272371527</v>
      </c>
      <c r="J44" s="39">
        <f>'working calculations'!K112</f>
        <v>-1139063.3674937389</v>
      </c>
      <c r="K44" s="39">
        <f>'working calculations'!L112</f>
        <v>-1193767.4626159505</v>
      </c>
      <c r="L44" s="39">
        <f>'working calculations'!M112</f>
        <v>-1248471.5577381626</v>
      </c>
      <c r="M44" s="39">
        <f>'working calculations'!N112</f>
        <v>-1303175.6528603744</v>
      </c>
      <c r="N44" s="39">
        <f>'working calculations'!O112</f>
        <v>-1357879.7479825858</v>
      </c>
      <c r="O44" s="39">
        <f>'working calculations'!P112</f>
        <v>-1412583.8431047976</v>
      </c>
      <c r="P44" s="39">
        <f>'working calculations'!Q112</f>
        <v>-1467287.93822701</v>
      </c>
      <c r="Q44" s="39">
        <f>'working calculations'!R112</f>
        <v>-1521992.0333492216</v>
      </c>
      <c r="R44" s="39">
        <f>'working calculations'!S112</f>
        <v>-1576696.1284714334</v>
      </c>
      <c r="S44" s="39">
        <f>'working calculations'!T112</f>
        <v>-1631400.223593645</v>
      </c>
      <c r="T44" s="39">
        <f>'working calculations'!U112</f>
        <v>-1686104.3187158571</v>
      </c>
      <c r="U44" s="39">
        <f>'working calculations'!V112</f>
        <v>-1740808.4138380687</v>
      </c>
      <c r="V44" s="39">
        <f>'working calculations'!W112</f>
        <v>-1795512.5089602806</v>
      </c>
      <c r="W44" s="39">
        <f>'working calculations'!X112</f>
        <v>-1850216.6040824922</v>
      </c>
      <c r="X44" s="39">
        <f>'working calculations'!Y112</f>
        <v>-1904920.6992047043</v>
      </c>
      <c r="Y44" s="39">
        <f>'working calculations'!Z112</f>
        <v>-1949902.164254206</v>
      </c>
      <c r="Z44" s="39"/>
      <c r="AA44" s="39"/>
      <c r="AB44" s="39"/>
      <c r="AC44" s="39"/>
      <c r="AD44" s="39"/>
      <c r="AE44" s="39"/>
      <c r="AF44" s="39"/>
      <c r="AG44" s="39"/>
      <c r="AH44" s="39"/>
      <c r="AI44" s="39"/>
      <c r="AJ44" s="39"/>
      <c r="AK44" s="39"/>
    </row>
    <row r="45" spans="1:37" ht="15.75" x14ac:dyDescent="0.25">
      <c r="A45" t="str">
        <f>'working calculations'!A113</f>
        <v>CFO Non-cash Charges</v>
      </c>
      <c r="B45" s="39">
        <f>'working calculations'!C113</f>
        <v>34171.336154260818</v>
      </c>
      <c r="C45" s="39">
        <f>'working calculations'!D113</f>
        <v>36799.900473819354</v>
      </c>
      <c r="D45" s="39">
        <f>'working calculations'!E113</f>
        <v>39428.464793377876</v>
      </c>
      <c r="E45" s="39">
        <f>'working calculations'!F113</f>
        <v>42057.029112936405</v>
      </c>
      <c r="F45" s="39">
        <f>'working calculations'!G113</f>
        <v>44685.593432494927</v>
      </c>
      <c r="G45" s="39">
        <f>'working calculations'!H113</f>
        <v>46846.979592094904</v>
      </c>
      <c r="H45" s="39">
        <f>'working calculations'!I113</f>
        <v>49475.543911653418</v>
      </c>
      <c r="I45" s="39">
        <f>'working calculations'!J113</f>
        <v>52104.108231211947</v>
      </c>
      <c r="J45" s="39">
        <f>'working calculations'!K113</f>
        <v>54732.672550770469</v>
      </c>
      <c r="K45" s="39">
        <f>'working calculations'!L113</f>
        <v>57361.236870328983</v>
      </c>
      <c r="L45" s="39">
        <f>'working calculations'!M113</f>
        <v>59989.801189887519</v>
      </c>
      <c r="M45" s="39">
        <f>'working calculations'!N113</f>
        <v>62618.365509446048</v>
      </c>
      <c r="N45" s="39">
        <f>'working calculations'!O113</f>
        <v>65246.929829004548</v>
      </c>
      <c r="O45" s="39">
        <f>'working calculations'!P113</f>
        <v>67875.49414856307</v>
      </c>
      <c r="P45" s="39">
        <f>'working calculations'!Q113</f>
        <v>70504.058468121613</v>
      </c>
      <c r="Q45" s="39">
        <f>'working calculations'!R113</f>
        <v>73132.622787680128</v>
      </c>
      <c r="R45" s="39">
        <f>'working calculations'!S113</f>
        <v>75761.187107238657</v>
      </c>
      <c r="S45" s="39">
        <f>'working calculations'!T113</f>
        <v>78389.751426797171</v>
      </c>
      <c r="T45" s="39">
        <f>'working calculations'!U113</f>
        <v>81018.3157463557</v>
      </c>
      <c r="U45" s="39">
        <f>'working calculations'!V113</f>
        <v>83646.880065914214</v>
      </c>
      <c r="V45" s="39">
        <f>'working calculations'!W113</f>
        <v>86275.444385472743</v>
      </c>
      <c r="W45" s="39">
        <f>'working calculations'!X113</f>
        <v>88904.008705031258</v>
      </c>
      <c r="X45" s="39">
        <f>'working calculations'!Y113</f>
        <v>91532.573024589787</v>
      </c>
      <c r="Y45" s="39">
        <f>'working calculations'!Z113</f>
        <v>93693.959184189764</v>
      </c>
      <c r="Z45" s="39"/>
      <c r="AA45" s="39"/>
      <c r="AB45" s="39"/>
      <c r="AC45" s="39"/>
      <c r="AD45" s="39"/>
      <c r="AE45" s="39"/>
      <c r="AF45" s="39"/>
      <c r="AG45" s="39"/>
      <c r="AH45" s="39"/>
      <c r="AI45" s="39"/>
      <c r="AJ45" s="39"/>
      <c r="AK45" s="39"/>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107E-C6F2-6E4E-8D3B-525AA8F9F89E}">
  <sheetPr>
    <tabColor theme="5"/>
  </sheetPr>
  <dimension ref="A1:AL110"/>
  <sheetViews>
    <sheetView showGridLines="0" zoomScale="115" zoomScaleNormal="115" workbookViewId="0">
      <pane xSplit="1" ySplit="3" topLeftCell="B6" activePane="bottomRight" state="frozen"/>
      <selection pane="topRight" activeCell="B1" sqref="B1"/>
      <selection pane="bottomLeft" activeCell="A4" sqref="A4"/>
      <selection pane="bottomRight" activeCell="B20" sqref="B20"/>
    </sheetView>
  </sheetViews>
  <sheetFormatPr defaultColWidth="8.85546875" defaultRowHeight="15" x14ac:dyDescent="0.25"/>
  <cols>
    <col min="1" max="1" width="37" customWidth="1"/>
    <col min="2" max="2" width="15" customWidth="1"/>
    <col min="3" max="25" width="13.42578125" customWidth="1"/>
    <col min="26" max="37" width="13.42578125" bestFit="1" customWidth="1"/>
    <col min="38" max="38" width="10.85546875" customWidth="1"/>
  </cols>
  <sheetData>
    <row r="1" spans="1:38" ht="20.25" thickBot="1" x14ac:dyDescent="0.35">
      <c r="A1" s="1" t="s">
        <v>115</v>
      </c>
    </row>
    <row r="2" spans="1:38" ht="15.75" thickTop="1" x14ac:dyDescent="0.25"/>
    <row r="3" spans="1:38" ht="15.75" thickBot="1" x14ac:dyDescent="0.3">
      <c r="A3" s="2" t="s">
        <v>0</v>
      </c>
      <c r="B3" s="42">
        <v>43982</v>
      </c>
      <c r="C3" s="3">
        <f>EOMONTH(B3,1)</f>
        <v>44012</v>
      </c>
      <c r="D3" s="3">
        <f t="shared" ref="D3:M3" si="0">EOMONTH(C3,1)</f>
        <v>44043</v>
      </c>
      <c r="E3" s="3">
        <f t="shared" si="0"/>
        <v>44074</v>
      </c>
      <c r="F3" s="3">
        <f t="shared" si="0"/>
        <v>44104</v>
      </c>
      <c r="G3" s="3">
        <f>EOMONTH(F3,1)</f>
        <v>44135</v>
      </c>
      <c r="H3" s="3">
        <f t="shared" si="0"/>
        <v>44165</v>
      </c>
      <c r="I3" s="3">
        <f t="shared" si="0"/>
        <v>44196</v>
      </c>
      <c r="J3" s="3">
        <f t="shared" si="0"/>
        <v>44227</v>
      </c>
      <c r="K3" s="3">
        <f t="shared" si="0"/>
        <v>44255</v>
      </c>
      <c r="L3" s="3">
        <f t="shared" si="0"/>
        <v>44286</v>
      </c>
      <c r="M3" s="3">
        <f t="shared" si="0"/>
        <v>44316</v>
      </c>
      <c r="N3" s="3">
        <f>EOMONTH(M3,1)</f>
        <v>44347</v>
      </c>
      <c r="O3" s="3">
        <f t="shared" ref="O3:AL3" si="1">EOMONTH(N3,1)</f>
        <v>44377</v>
      </c>
      <c r="P3" s="3">
        <f t="shared" si="1"/>
        <v>44408</v>
      </c>
      <c r="Q3" s="3">
        <f t="shared" si="1"/>
        <v>44439</v>
      </c>
      <c r="R3" s="3">
        <f t="shared" si="1"/>
        <v>44469</v>
      </c>
      <c r="S3" s="3">
        <f t="shared" si="1"/>
        <v>44500</v>
      </c>
      <c r="T3" s="3">
        <f t="shared" si="1"/>
        <v>44530</v>
      </c>
      <c r="U3" s="3">
        <f t="shared" si="1"/>
        <v>44561</v>
      </c>
      <c r="V3" s="3">
        <f t="shared" si="1"/>
        <v>44592</v>
      </c>
      <c r="W3" s="3">
        <f t="shared" si="1"/>
        <v>44620</v>
      </c>
      <c r="X3" s="3">
        <f t="shared" si="1"/>
        <v>44651</v>
      </c>
      <c r="Y3" s="3">
        <f t="shared" si="1"/>
        <v>44681</v>
      </c>
      <c r="Z3" s="3">
        <f t="shared" si="1"/>
        <v>44712</v>
      </c>
      <c r="AA3" s="3">
        <f t="shared" si="1"/>
        <v>44742</v>
      </c>
      <c r="AB3" s="3">
        <f t="shared" si="1"/>
        <v>44773</v>
      </c>
      <c r="AC3" s="3">
        <f t="shared" si="1"/>
        <v>44804</v>
      </c>
      <c r="AD3" s="3">
        <f t="shared" si="1"/>
        <v>44834</v>
      </c>
      <c r="AE3" s="3">
        <f t="shared" si="1"/>
        <v>44865</v>
      </c>
      <c r="AF3" s="3">
        <f t="shared" si="1"/>
        <v>44895</v>
      </c>
      <c r="AG3" s="3">
        <f t="shared" si="1"/>
        <v>44926</v>
      </c>
      <c r="AH3" s="3">
        <f t="shared" si="1"/>
        <v>44957</v>
      </c>
      <c r="AI3" s="3">
        <f t="shared" si="1"/>
        <v>44985</v>
      </c>
      <c r="AJ3" s="3">
        <f t="shared" si="1"/>
        <v>45016</v>
      </c>
      <c r="AK3" s="3">
        <f t="shared" si="1"/>
        <v>45046</v>
      </c>
      <c r="AL3" s="3">
        <f t="shared" si="1"/>
        <v>45077</v>
      </c>
    </row>
    <row r="4" spans="1:38" ht="15.75" x14ac:dyDescent="0.25">
      <c r="A4" t="s">
        <v>61</v>
      </c>
      <c r="B4" s="43"/>
      <c r="C4" s="4">
        <v>2500000</v>
      </c>
      <c r="D4" s="4">
        <v>1000000</v>
      </c>
      <c r="E4" s="4">
        <v>1000000</v>
      </c>
      <c r="F4" s="4">
        <v>1000000</v>
      </c>
      <c r="G4" s="4">
        <v>1000000</v>
      </c>
      <c r="H4" s="4">
        <v>1000000</v>
      </c>
      <c r="I4" s="4">
        <v>1000000</v>
      </c>
      <c r="J4" s="4">
        <v>1000000</v>
      </c>
      <c r="K4" s="4">
        <v>1000000</v>
      </c>
      <c r="L4" s="4">
        <v>1000000</v>
      </c>
      <c r="M4" s="4">
        <v>1000000</v>
      </c>
      <c r="N4" s="4">
        <v>1000000</v>
      </c>
      <c r="O4" s="4">
        <v>1000000</v>
      </c>
      <c r="P4" s="4">
        <v>1000000</v>
      </c>
      <c r="Q4" s="4">
        <v>1000000</v>
      </c>
      <c r="R4" s="4">
        <v>1000000</v>
      </c>
      <c r="S4" s="4">
        <v>1000000</v>
      </c>
      <c r="T4" s="4">
        <v>1000000</v>
      </c>
      <c r="U4" s="4">
        <v>1000000</v>
      </c>
      <c r="V4" s="4">
        <v>1000000</v>
      </c>
      <c r="W4" s="4">
        <v>1000000</v>
      </c>
      <c r="X4" s="4">
        <v>1000000</v>
      </c>
      <c r="Y4" s="4">
        <v>1000000</v>
      </c>
      <c r="Z4" s="4">
        <v>1000000</v>
      </c>
      <c r="AA4" s="4">
        <v>1000000</v>
      </c>
      <c r="AB4" s="4">
        <v>1000000</v>
      </c>
      <c r="AC4" s="4">
        <v>1000000</v>
      </c>
      <c r="AD4" s="4">
        <v>1000000</v>
      </c>
      <c r="AE4" s="4">
        <v>1000000</v>
      </c>
      <c r="AF4" s="4">
        <v>1000000</v>
      </c>
      <c r="AG4" s="4">
        <v>1000000</v>
      </c>
      <c r="AH4" s="4">
        <v>1000000</v>
      </c>
      <c r="AI4" s="4">
        <v>1000000</v>
      </c>
      <c r="AJ4" s="4">
        <v>1000000</v>
      </c>
      <c r="AK4" s="4">
        <v>1000000</v>
      </c>
      <c r="AL4" s="4">
        <v>1000000</v>
      </c>
    </row>
    <row r="5" spans="1:38" ht="15.75" x14ac:dyDescent="0.25">
      <c r="A5" t="s">
        <v>79</v>
      </c>
      <c r="B5" s="44"/>
      <c r="C5" s="57">
        <v>1500</v>
      </c>
      <c r="D5" s="57">
        <v>1425</v>
      </c>
      <c r="E5" s="57">
        <v>1500</v>
      </c>
      <c r="F5" s="57">
        <v>1500</v>
      </c>
      <c r="G5" s="57">
        <v>1425</v>
      </c>
      <c r="H5" s="57">
        <v>1500</v>
      </c>
      <c r="I5" s="57">
        <v>1515</v>
      </c>
      <c r="J5" s="57">
        <v>1485</v>
      </c>
      <c r="K5" s="57">
        <v>1440</v>
      </c>
      <c r="L5" s="57">
        <v>1545</v>
      </c>
      <c r="M5" s="57">
        <v>1320</v>
      </c>
      <c r="N5" s="57">
        <v>1500</v>
      </c>
      <c r="O5" s="57">
        <v>1425</v>
      </c>
      <c r="P5" s="57">
        <v>1380</v>
      </c>
      <c r="Q5" s="57">
        <v>1560</v>
      </c>
      <c r="R5" s="57">
        <v>1500</v>
      </c>
      <c r="S5" s="57">
        <v>1425</v>
      </c>
      <c r="T5" s="57">
        <v>1500</v>
      </c>
      <c r="U5" s="57">
        <v>1485</v>
      </c>
      <c r="V5" s="57">
        <v>1500</v>
      </c>
      <c r="W5" s="57">
        <v>1440</v>
      </c>
      <c r="X5" s="57">
        <v>1485</v>
      </c>
      <c r="Y5" s="57">
        <v>1380</v>
      </c>
      <c r="Z5" s="57">
        <v>1455</v>
      </c>
      <c r="AA5" s="57">
        <v>1380</v>
      </c>
      <c r="AB5" s="57">
        <v>1380</v>
      </c>
      <c r="AC5" s="57">
        <v>1560</v>
      </c>
      <c r="AD5" s="57">
        <v>1485</v>
      </c>
      <c r="AE5" s="57">
        <v>1440</v>
      </c>
      <c r="AF5" s="57">
        <v>1500</v>
      </c>
      <c r="AG5" s="57">
        <v>1425</v>
      </c>
      <c r="AH5" s="57">
        <v>1560</v>
      </c>
      <c r="AI5" s="57">
        <v>1440</v>
      </c>
      <c r="AJ5" s="57">
        <v>1485</v>
      </c>
      <c r="AK5" s="57">
        <v>1380</v>
      </c>
      <c r="AL5" s="57">
        <v>1440</v>
      </c>
    </row>
    <row r="6" spans="1:38" ht="15.75" x14ac:dyDescent="0.25">
      <c r="A6" t="s">
        <v>127</v>
      </c>
      <c r="B6" s="45"/>
      <c r="C6" s="6">
        <f>C45</f>
        <v>632</v>
      </c>
      <c r="D6" s="6">
        <f t="shared" ref="D6:AL6" si="2">D45</f>
        <v>762</v>
      </c>
      <c r="E6" s="6">
        <f t="shared" si="2"/>
        <v>789</v>
      </c>
      <c r="F6" s="6">
        <f t="shared" si="2"/>
        <v>900</v>
      </c>
      <c r="G6" s="6">
        <f t="shared" si="2"/>
        <v>868</v>
      </c>
      <c r="H6" s="6">
        <f t="shared" si="2"/>
        <v>900</v>
      </c>
      <c r="I6" s="6">
        <f t="shared" si="2"/>
        <v>900</v>
      </c>
      <c r="J6" s="6">
        <f t="shared" si="2"/>
        <v>928</v>
      </c>
      <c r="K6" s="6">
        <f t="shared" si="2"/>
        <v>896</v>
      </c>
      <c r="L6" s="6">
        <f t="shared" si="2"/>
        <v>959</v>
      </c>
      <c r="M6" s="6">
        <f t="shared" si="2"/>
        <v>896</v>
      </c>
      <c r="N6" s="6">
        <f t="shared" si="2"/>
        <v>928</v>
      </c>
      <c r="O6" s="6">
        <f t="shared" si="2"/>
        <v>906</v>
      </c>
      <c r="P6" s="6">
        <f t="shared" si="2"/>
        <v>906</v>
      </c>
      <c r="Q6" s="6">
        <f t="shared" si="2"/>
        <v>906</v>
      </c>
      <c r="R6" s="6">
        <f t="shared" si="2"/>
        <v>906</v>
      </c>
      <c r="S6" s="6">
        <f t="shared" si="2"/>
        <v>906</v>
      </c>
      <c r="T6" s="6">
        <f t="shared" si="2"/>
        <v>906</v>
      </c>
      <c r="U6" s="6">
        <f t="shared" si="2"/>
        <v>906</v>
      </c>
      <c r="V6" s="6">
        <f t="shared" si="2"/>
        <v>906</v>
      </c>
      <c r="W6" s="6">
        <f t="shared" si="2"/>
        <v>906</v>
      </c>
      <c r="X6" s="6">
        <f t="shared" si="2"/>
        <v>906</v>
      </c>
      <c r="Y6" s="6">
        <f t="shared" si="2"/>
        <v>906</v>
      </c>
      <c r="Z6" s="6">
        <f t="shared" si="2"/>
        <v>906</v>
      </c>
      <c r="AA6" s="6">
        <f t="shared" si="2"/>
        <v>906</v>
      </c>
      <c r="AB6" s="6">
        <f t="shared" si="2"/>
        <v>906</v>
      </c>
      <c r="AC6" s="6">
        <f t="shared" si="2"/>
        <v>906</v>
      </c>
      <c r="AD6" s="6">
        <f t="shared" si="2"/>
        <v>906</v>
      </c>
      <c r="AE6" s="6">
        <f t="shared" si="2"/>
        <v>906</v>
      </c>
      <c r="AF6" s="6">
        <f t="shared" si="2"/>
        <v>906</v>
      </c>
      <c r="AG6" s="6">
        <f t="shared" si="2"/>
        <v>906</v>
      </c>
      <c r="AH6" s="6">
        <f t="shared" si="2"/>
        <v>906</v>
      </c>
      <c r="AI6" s="6">
        <f t="shared" si="2"/>
        <v>906</v>
      </c>
      <c r="AJ6" s="6">
        <f t="shared" si="2"/>
        <v>906</v>
      </c>
      <c r="AK6" s="6">
        <f t="shared" si="2"/>
        <v>906</v>
      </c>
      <c r="AL6" s="6">
        <f t="shared" si="2"/>
        <v>906</v>
      </c>
    </row>
    <row r="7" spans="1:38" ht="15.75" x14ac:dyDescent="0.25">
      <c r="A7" t="s">
        <v>54</v>
      </c>
      <c r="B7" s="44"/>
      <c r="C7" s="8">
        <f>C16+C17</f>
        <v>650</v>
      </c>
      <c r="D7" s="8">
        <f t="shared" ref="D7:AL7" si="3">D16+D17</f>
        <v>675</v>
      </c>
      <c r="E7" s="8">
        <f t="shared" si="3"/>
        <v>700</v>
      </c>
      <c r="F7" s="8">
        <f t="shared" si="3"/>
        <v>725</v>
      </c>
      <c r="G7" s="8">
        <f t="shared" si="3"/>
        <v>750</v>
      </c>
      <c r="H7" s="8">
        <f t="shared" si="3"/>
        <v>775</v>
      </c>
      <c r="I7" s="8">
        <f t="shared" si="3"/>
        <v>800</v>
      </c>
      <c r="J7" s="8">
        <f t="shared" si="3"/>
        <v>825</v>
      </c>
      <c r="K7" s="8">
        <f t="shared" si="3"/>
        <v>850</v>
      </c>
      <c r="L7" s="8">
        <f t="shared" si="3"/>
        <v>875</v>
      </c>
      <c r="M7" s="8">
        <f t="shared" si="3"/>
        <v>900</v>
      </c>
      <c r="N7" s="8">
        <f t="shared" si="3"/>
        <v>925</v>
      </c>
      <c r="O7" s="8">
        <f t="shared" si="3"/>
        <v>925</v>
      </c>
      <c r="P7" s="8">
        <f t="shared" si="3"/>
        <v>925</v>
      </c>
      <c r="Q7" s="8">
        <f t="shared" si="3"/>
        <v>925</v>
      </c>
      <c r="R7" s="8">
        <f t="shared" si="3"/>
        <v>925</v>
      </c>
      <c r="S7" s="8">
        <f t="shared" si="3"/>
        <v>925</v>
      </c>
      <c r="T7" s="8">
        <f t="shared" si="3"/>
        <v>925</v>
      </c>
      <c r="U7" s="8">
        <f t="shared" si="3"/>
        <v>925</v>
      </c>
      <c r="V7" s="8">
        <f t="shared" si="3"/>
        <v>925</v>
      </c>
      <c r="W7" s="8">
        <f t="shared" si="3"/>
        <v>925</v>
      </c>
      <c r="X7" s="8">
        <f t="shared" si="3"/>
        <v>925</v>
      </c>
      <c r="Y7" s="8">
        <f t="shared" si="3"/>
        <v>925</v>
      </c>
      <c r="Z7" s="8">
        <f t="shared" si="3"/>
        <v>925</v>
      </c>
      <c r="AA7" s="8">
        <f t="shared" si="3"/>
        <v>925</v>
      </c>
      <c r="AB7" s="8">
        <f t="shared" si="3"/>
        <v>925</v>
      </c>
      <c r="AC7" s="8">
        <f t="shared" si="3"/>
        <v>925</v>
      </c>
      <c r="AD7" s="8">
        <f t="shared" si="3"/>
        <v>925</v>
      </c>
      <c r="AE7" s="8">
        <f t="shared" si="3"/>
        <v>925</v>
      </c>
      <c r="AF7" s="8">
        <f t="shared" si="3"/>
        <v>925</v>
      </c>
      <c r="AG7" s="8">
        <f t="shared" si="3"/>
        <v>925</v>
      </c>
      <c r="AH7" s="8">
        <f t="shared" si="3"/>
        <v>925</v>
      </c>
      <c r="AI7" s="8">
        <f t="shared" si="3"/>
        <v>925</v>
      </c>
      <c r="AJ7" s="8">
        <f t="shared" si="3"/>
        <v>925</v>
      </c>
      <c r="AK7" s="8">
        <f t="shared" si="3"/>
        <v>925</v>
      </c>
      <c r="AL7" s="8">
        <f t="shared" si="3"/>
        <v>925</v>
      </c>
    </row>
    <row r="8" spans="1:38" ht="15.75" x14ac:dyDescent="0.25">
      <c r="A8" t="s">
        <v>55</v>
      </c>
      <c r="B8" s="46"/>
      <c r="C8" s="39">
        <f t="shared" ref="C8:AL8" si="4">(C7*1250)+C19+C24+C29</f>
        <v>829500</v>
      </c>
      <c r="D8" s="39">
        <f t="shared" si="4"/>
        <v>885125</v>
      </c>
      <c r="E8" s="39">
        <f t="shared" si="4"/>
        <v>916375</v>
      </c>
      <c r="F8" s="39">
        <f t="shared" si="4"/>
        <v>1004625</v>
      </c>
      <c r="G8" s="39">
        <f t="shared" si="4"/>
        <v>1035875</v>
      </c>
      <c r="H8" s="39">
        <f t="shared" si="4"/>
        <v>1084125</v>
      </c>
      <c r="I8" s="39">
        <f t="shared" si="4"/>
        <v>1135375</v>
      </c>
      <c r="J8" s="39">
        <f t="shared" si="4"/>
        <v>1183625</v>
      </c>
      <c r="K8" s="39">
        <f t="shared" si="4"/>
        <v>1251875</v>
      </c>
      <c r="L8" s="39">
        <f t="shared" si="4"/>
        <v>1300125</v>
      </c>
      <c r="M8" s="39">
        <f t="shared" si="4"/>
        <v>1368375</v>
      </c>
      <c r="N8" s="39">
        <f t="shared" si="4"/>
        <v>1416625</v>
      </c>
      <c r="O8" s="39">
        <f t="shared" si="4"/>
        <v>1412250</v>
      </c>
      <c r="P8" s="39">
        <f t="shared" si="4"/>
        <v>1429250</v>
      </c>
      <c r="Q8" s="39">
        <f t="shared" si="4"/>
        <v>1429250</v>
      </c>
      <c r="R8" s="39">
        <f t="shared" si="4"/>
        <v>1446250</v>
      </c>
      <c r="S8" s="39">
        <f t="shared" si="4"/>
        <v>1446250</v>
      </c>
      <c r="T8" s="39">
        <f t="shared" si="4"/>
        <v>1446250</v>
      </c>
      <c r="U8" s="39">
        <f t="shared" si="4"/>
        <v>1446250</v>
      </c>
      <c r="V8" s="39">
        <f t="shared" si="4"/>
        <v>1446250</v>
      </c>
      <c r="W8" s="39">
        <f t="shared" si="4"/>
        <v>1446250</v>
      </c>
      <c r="X8" s="39">
        <f t="shared" si="4"/>
        <v>1446250</v>
      </c>
      <c r="Y8" s="39">
        <f t="shared" si="4"/>
        <v>1446250</v>
      </c>
      <c r="Z8" s="39">
        <f t="shared" si="4"/>
        <v>1446250</v>
      </c>
      <c r="AA8" s="39">
        <f t="shared" si="4"/>
        <v>1446250</v>
      </c>
      <c r="AB8" s="39">
        <f t="shared" si="4"/>
        <v>1446250</v>
      </c>
      <c r="AC8" s="39">
        <f t="shared" si="4"/>
        <v>1446250</v>
      </c>
      <c r="AD8" s="39">
        <f t="shared" si="4"/>
        <v>1446250</v>
      </c>
      <c r="AE8" s="39">
        <f t="shared" si="4"/>
        <v>1446250</v>
      </c>
      <c r="AF8" s="39">
        <f t="shared" si="4"/>
        <v>1446250</v>
      </c>
      <c r="AG8" s="39">
        <f t="shared" si="4"/>
        <v>1446250</v>
      </c>
      <c r="AH8" s="39">
        <f t="shared" si="4"/>
        <v>1446250</v>
      </c>
      <c r="AI8" s="39">
        <f t="shared" si="4"/>
        <v>1446250</v>
      </c>
      <c r="AJ8" s="39">
        <f t="shared" si="4"/>
        <v>1446250</v>
      </c>
      <c r="AK8" s="39">
        <f t="shared" si="4"/>
        <v>1446250</v>
      </c>
      <c r="AL8" s="39">
        <f t="shared" si="4"/>
        <v>1446250</v>
      </c>
    </row>
    <row r="9" spans="1:38" ht="15.75" x14ac:dyDescent="0.25">
      <c r="A9" t="s">
        <v>56</v>
      </c>
      <c r="B9" s="46"/>
      <c r="C9" s="39">
        <f>0.95*C8</f>
        <v>788025</v>
      </c>
      <c r="D9" s="39">
        <f t="shared" ref="D9:AL9" si="5">0.95*D8</f>
        <v>840868.75</v>
      </c>
      <c r="E9" s="39">
        <f t="shared" si="5"/>
        <v>870556.25</v>
      </c>
      <c r="F9" s="39">
        <f t="shared" si="5"/>
        <v>954393.75</v>
      </c>
      <c r="G9" s="39">
        <f t="shared" si="5"/>
        <v>984081.25</v>
      </c>
      <c r="H9" s="39">
        <f t="shared" si="5"/>
        <v>1029918.75</v>
      </c>
      <c r="I9" s="39">
        <f t="shared" si="5"/>
        <v>1078606.25</v>
      </c>
      <c r="J9" s="39">
        <f t="shared" si="5"/>
        <v>1124443.75</v>
      </c>
      <c r="K9" s="39">
        <f t="shared" si="5"/>
        <v>1189281.25</v>
      </c>
      <c r="L9" s="39">
        <f t="shared" si="5"/>
        <v>1235118.75</v>
      </c>
      <c r="M9" s="39">
        <f t="shared" si="5"/>
        <v>1299956.25</v>
      </c>
      <c r="N9" s="39">
        <f t="shared" si="5"/>
        <v>1345793.75</v>
      </c>
      <c r="O9" s="39">
        <f t="shared" si="5"/>
        <v>1341637.5</v>
      </c>
      <c r="P9" s="39">
        <f t="shared" si="5"/>
        <v>1357787.5</v>
      </c>
      <c r="Q9" s="39">
        <f t="shared" si="5"/>
        <v>1357787.5</v>
      </c>
      <c r="R9" s="39">
        <f t="shared" si="5"/>
        <v>1373937.5</v>
      </c>
      <c r="S9" s="39">
        <f t="shared" si="5"/>
        <v>1373937.5</v>
      </c>
      <c r="T9" s="39">
        <f t="shared" si="5"/>
        <v>1373937.5</v>
      </c>
      <c r="U9" s="39">
        <f t="shared" si="5"/>
        <v>1373937.5</v>
      </c>
      <c r="V9" s="39">
        <f t="shared" si="5"/>
        <v>1373937.5</v>
      </c>
      <c r="W9" s="39">
        <f t="shared" si="5"/>
        <v>1373937.5</v>
      </c>
      <c r="X9" s="39">
        <f t="shared" si="5"/>
        <v>1373937.5</v>
      </c>
      <c r="Y9" s="39">
        <f t="shared" si="5"/>
        <v>1373937.5</v>
      </c>
      <c r="Z9" s="39">
        <f t="shared" si="5"/>
        <v>1373937.5</v>
      </c>
      <c r="AA9" s="39">
        <f t="shared" si="5"/>
        <v>1373937.5</v>
      </c>
      <c r="AB9" s="39">
        <f t="shared" si="5"/>
        <v>1373937.5</v>
      </c>
      <c r="AC9" s="39">
        <f t="shared" si="5"/>
        <v>1373937.5</v>
      </c>
      <c r="AD9" s="39">
        <f t="shared" si="5"/>
        <v>1373937.5</v>
      </c>
      <c r="AE9" s="39">
        <f t="shared" si="5"/>
        <v>1373937.5</v>
      </c>
      <c r="AF9" s="39">
        <f t="shared" si="5"/>
        <v>1373937.5</v>
      </c>
      <c r="AG9" s="39">
        <f t="shared" si="5"/>
        <v>1373937.5</v>
      </c>
      <c r="AH9" s="39">
        <f t="shared" si="5"/>
        <v>1373937.5</v>
      </c>
      <c r="AI9" s="39">
        <f t="shared" si="5"/>
        <v>1373937.5</v>
      </c>
      <c r="AJ9" s="39">
        <f t="shared" si="5"/>
        <v>1373937.5</v>
      </c>
      <c r="AK9" s="39">
        <f t="shared" si="5"/>
        <v>1373937.5</v>
      </c>
      <c r="AL9" s="39">
        <f t="shared" si="5"/>
        <v>1373937.5</v>
      </c>
    </row>
    <row r="10" spans="1:38" ht="15.75" x14ac:dyDescent="0.25">
      <c r="A10" t="s">
        <v>57</v>
      </c>
      <c r="B10" s="47"/>
      <c r="C10" s="39">
        <f t="shared" ref="C10:AL10" si="6">(0.45*C8)-C54-C58-C61-C65-C68-C70-C75-C80-C85-C90</f>
        <v>371275</v>
      </c>
      <c r="D10" s="39">
        <f t="shared" si="6"/>
        <v>347206.25</v>
      </c>
      <c r="E10" s="39">
        <f t="shared" si="6"/>
        <v>341668.75</v>
      </c>
      <c r="F10" s="39">
        <f t="shared" si="6"/>
        <v>341381.25</v>
      </c>
      <c r="G10" s="39">
        <f t="shared" si="6"/>
        <v>338443.75</v>
      </c>
      <c r="H10" s="39">
        <f t="shared" si="6"/>
        <v>363156.25</v>
      </c>
      <c r="I10" s="39">
        <f t="shared" si="6"/>
        <v>376218.75</v>
      </c>
      <c r="J10" s="39">
        <f t="shared" si="6"/>
        <v>402931.25</v>
      </c>
      <c r="K10" s="39">
        <f t="shared" si="6"/>
        <v>438643.75</v>
      </c>
      <c r="L10" s="39">
        <f t="shared" si="6"/>
        <v>450356.25</v>
      </c>
      <c r="M10" s="39">
        <f t="shared" si="6"/>
        <v>486068.75</v>
      </c>
      <c r="N10" s="39">
        <f t="shared" si="6"/>
        <v>512781.25</v>
      </c>
      <c r="O10" s="39">
        <f t="shared" si="6"/>
        <v>500812.5</v>
      </c>
      <c r="P10" s="39">
        <f t="shared" si="6"/>
        <v>513462.5</v>
      </c>
      <c r="Q10" s="39">
        <f t="shared" si="6"/>
        <v>518462.5</v>
      </c>
      <c r="R10" s="39">
        <f t="shared" si="6"/>
        <v>516112.5</v>
      </c>
      <c r="S10" s="39">
        <f t="shared" si="6"/>
        <v>521112.5</v>
      </c>
      <c r="T10" s="39">
        <f t="shared" si="6"/>
        <v>526112.5</v>
      </c>
      <c r="U10" s="39">
        <f t="shared" si="6"/>
        <v>516112.5</v>
      </c>
      <c r="V10" s="39">
        <f t="shared" si="6"/>
        <v>521112.5</v>
      </c>
      <c r="W10" s="39">
        <f t="shared" si="6"/>
        <v>526112.5</v>
      </c>
      <c r="X10" s="39">
        <f t="shared" si="6"/>
        <v>516112.5</v>
      </c>
      <c r="Y10" s="39">
        <f t="shared" si="6"/>
        <v>521112.5</v>
      </c>
      <c r="Z10" s="39">
        <f t="shared" si="6"/>
        <v>526112.5</v>
      </c>
      <c r="AA10" s="39">
        <f t="shared" si="6"/>
        <v>515112.5</v>
      </c>
      <c r="AB10" s="39">
        <f t="shared" si="6"/>
        <v>519112.5</v>
      </c>
      <c r="AC10" s="39">
        <f t="shared" si="6"/>
        <v>523112.5</v>
      </c>
      <c r="AD10" s="39">
        <f t="shared" si="6"/>
        <v>512112.5</v>
      </c>
      <c r="AE10" s="39">
        <f t="shared" si="6"/>
        <v>516112.5</v>
      </c>
      <c r="AF10" s="39">
        <f t="shared" si="6"/>
        <v>520112.5</v>
      </c>
      <c r="AG10" s="39">
        <f t="shared" si="6"/>
        <v>509112.5</v>
      </c>
      <c r="AH10" s="39">
        <f t="shared" si="6"/>
        <v>513112.5</v>
      </c>
      <c r="AI10" s="39">
        <f t="shared" si="6"/>
        <v>517112.5</v>
      </c>
      <c r="AJ10" s="39">
        <f t="shared" si="6"/>
        <v>506112.5</v>
      </c>
      <c r="AK10" s="39">
        <f t="shared" si="6"/>
        <v>510112.5</v>
      </c>
      <c r="AL10" s="39">
        <f t="shared" si="6"/>
        <v>514112.5</v>
      </c>
    </row>
    <row r="11" spans="1:38" ht="15.75" x14ac:dyDescent="0.25">
      <c r="A11" t="s">
        <v>58</v>
      </c>
      <c r="B11" s="47"/>
      <c r="C11" s="39">
        <f t="shared" ref="C11:AL11" si="7">(0.4*C8)-C54-C58-C61-C65-C68-C70-C75-C80-C85-C90</f>
        <v>329800</v>
      </c>
      <c r="D11" s="39">
        <f t="shared" si="7"/>
        <v>302950</v>
      </c>
      <c r="E11" s="39">
        <f t="shared" si="7"/>
        <v>295850</v>
      </c>
      <c r="F11" s="39">
        <f t="shared" si="7"/>
        <v>291150</v>
      </c>
      <c r="G11" s="39">
        <f t="shared" si="7"/>
        <v>286650</v>
      </c>
      <c r="H11" s="39">
        <f t="shared" si="7"/>
        <v>308950</v>
      </c>
      <c r="I11" s="39">
        <f t="shared" si="7"/>
        <v>319450</v>
      </c>
      <c r="J11" s="39">
        <f t="shared" si="7"/>
        <v>343750</v>
      </c>
      <c r="K11" s="39">
        <f t="shared" si="7"/>
        <v>376050</v>
      </c>
      <c r="L11" s="39">
        <f t="shared" si="7"/>
        <v>385350</v>
      </c>
      <c r="M11" s="39">
        <f t="shared" si="7"/>
        <v>417650</v>
      </c>
      <c r="N11" s="39">
        <f t="shared" si="7"/>
        <v>441950</v>
      </c>
      <c r="O11" s="39">
        <f t="shared" si="7"/>
        <v>430200</v>
      </c>
      <c r="P11" s="39">
        <f t="shared" si="7"/>
        <v>442000</v>
      </c>
      <c r="Q11" s="39">
        <f t="shared" si="7"/>
        <v>447000</v>
      </c>
      <c r="R11" s="39">
        <f t="shared" si="7"/>
        <v>443800</v>
      </c>
      <c r="S11" s="39">
        <f t="shared" si="7"/>
        <v>448800</v>
      </c>
      <c r="T11" s="39">
        <f t="shared" si="7"/>
        <v>453800</v>
      </c>
      <c r="U11" s="39">
        <f t="shared" si="7"/>
        <v>443800</v>
      </c>
      <c r="V11" s="39">
        <f t="shared" si="7"/>
        <v>448800</v>
      </c>
      <c r="W11" s="39">
        <f t="shared" si="7"/>
        <v>453800</v>
      </c>
      <c r="X11" s="39">
        <f t="shared" si="7"/>
        <v>443800</v>
      </c>
      <c r="Y11" s="39">
        <f t="shared" si="7"/>
        <v>448800</v>
      </c>
      <c r="Z11" s="39">
        <f t="shared" si="7"/>
        <v>453800</v>
      </c>
      <c r="AA11" s="39">
        <f t="shared" si="7"/>
        <v>442800</v>
      </c>
      <c r="AB11" s="39">
        <f t="shared" si="7"/>
        <v>446800</v>
      </c>
      <c r="AC11" s="39">
        <f t="shared" si="7"/>
        <v>450800</v>
      </c>
      <c r="AD11" s="39">
        <f t="shared" si="7"/>
        <v>439800</v>
      </c>
      <c r="AE11" s="39">
        <f t="shared" si="7"/>
        <v>443800</v>
      </c>
      <c r="AF11" s="39">
        <f t="shared" si="7"/>
        <v>447800</v>
      </c>
      <c r="AG11" s="39">
        <f t="shared" si="7"/>
        <v>436800</v>
      </c>
      <c r="AH11" s="39">
        <f t="shared" si="7"/>
        <v>440800</v>
      </c>
      <c r="AI11" s="39">
        <f t="shared" si="7"/>
        <v>444800</v>
      </c>
      <c r="AJ11" s="39">
        <f t="shared" si="7"/>
        <v>433800</v>
      </c>
      <c r="AK11" s="39">
        <f t="shared" si="7"/>
        <v>437800</v>
      </c>
      <c r="AL11" s="39">
        <f t="shared" si="7"/>
        <v>441800</v>
      </c>
    </row>
    <row r="12" spans="1:38" ht="15.75" x14ac:dyDescent="0.25">
      <c r="A12" t="s">
        <v>59</v>
      </c>
      <c r="B12" s="47"/>
      <c r="C12" s="39">
        <f>(0.5*C10)</f>
        <v>185637.5</v>
      </c>
      <c r="D12" s="39">
        <f t="shared" ref="D12:AL12" si="8">(0.5*D10)</f>
        <v>173603.125</v>
      </c>
      <c r="E12" s="39">
        <f t="shared" si="8"/>
        <v>170834.375</v>
      </c>
      <c r="F12" s="39">
        <f t="shared" si="8"/>
        <v>170690.625</v>
      </c>
      <c r="G12" s="39">
        <f t="shared" si="8"/>
        <v>169221.875</v>
      </c>
      <c r="H12" s="39">
        <f t="shared" si="8"/>
        <v>181578.125</v>
      </c>
      <c r="I12" s="39">
        <f t="shared" si="8"/>
        <v>188109.375</v>
      </c>
      <c r="J12" s="39">
        <f t="shared" si="8"/>
        <v>201465.625</v>
      </c>
      <c r="K12" s="39">
        <f t="shared" si="8"/>
        <v>219321.875</v>
      </c>
      <c r="L12" s="39">
        <f t="shared" si="8"/>
        <v>225178.125</v>
      </c>
      <c r="M12" s="39">
        <f t="shared" si="8"/>
        <v>243034.375</v>
      </c>
      <c r="N12" s="39">
        <f t="shared" si="8"/>
        <v>256390.625</v>
      </c>
      <c r="O12" s="39">
        <f t="shared" si="8"/>
        <v>250406.25</v>
      </c>
      <c r="P12" s="39">
        <f t="shared" si="8"/>
        <v>256731.25</v>
      </c>
      <c r="Q12" s="39">
        <f t="shared" si="8"/>
        <v>259231.25</v>
      </c>
      <c r="R12" s="39">
        <f t="shared" si="8"/>
        <v>258056.25</v>
      </c>
      <c r="S12" s="39">
        <f t="shared" si="8"/>
        <v>260556.25</v>
      </c>
      <c r="T12" s="39">
        <f t="shared" si="8"/>
        <v>263056.25</v>
      </c>
      <c r="U12" s="39">
        <f t="shared" si="8"/>
        <v>258056.25</v>
      </c>
      <c r="V12" s="39">
        <f t="shared" si="8"/>
        <v>260556.25</v>
      </c>
      <c r="W12" s="39">
        <f t="shared" si="8"/>
        <v>263056.25</v>
      </c>
      <c r="X12" s="39">
        <f t="shared" si="8"/>
        <v>258056.25</v>
      </c>
      <c r="Y12" s="39">
        <f t="shared" si="8"/>
        <v>260556.25</v>
      </c>
      <c r="Z12" s="39">
        <f t="shared" si="8"/>
        <v>263056.25</v>
      </c>
      <c r="AA12" s="39">
        <f t="shared" si="8"/>
        <v>257556.25</v>
      </c>
      <c r="AB12" s="39">
        <f t="shared" si="8"/>
        <v>259556.25</v>
      </c>
      <c r="AC12" s="39">
        <f t="shared" si="8"/>
        <v>261556.25</v>
      </c>
      <c r="AD12" s="39">
        <f t="shared" si="8"/>
        <v>256056.25</v>
      </c>
      <c r="AE12" s="39">
        <f t="shared" si="8"/>
        <v>258056.25</v>
      </c>
      <c r="AF12" s="39">
        <f t="shared" si="8"/>
        <v>260056.25</v>
      </c>
      <c r="AG12" s="39">
        <f t="shared" si="8"/>
        <v>254556.25</v>
      </c>
      <c r="AH12" s="39">
        <f t="shared" si="8"/>
        <v>256556.25</v>
      </c>
      <c r="AI12" s="39">
        <f t="shared" si="8"/>
        <v>258556.25</v>
      </c>
      <c r="AJ12" s="39">
        <f t="shared" si="8"/>
        <v>253056.25</v>
      </c>
      <c r="AK12" s="39">
        <f t="shared" si="8"/>
        <v>255056.25</v>
      </c>
      <c r="AL12" s="39">
        <f t="shared" si="8"/>
        <v>257056.25</v>
      </c>
    </row>
    <row r="13" spans="1:38" ht="15.75" x14ac:dyDescent="0.25">
      <c r="A13" t="s">
        <v>60</v>
      </c>
      <c r="B13" s="46"/>
      <c r="C13" s="39">
        <f>C12-50000</f>
        <v>135637.5</v>
      </c>
      <c r="D13" s="39">
        <f t="shared" ref="D13:AL13" si="9">D12-50000</f>
        <v>123603.125</v>
      </c>
      <c r="E13" s="39">
        <f t="shared" si="9"/>
        <v>120834.375</v>
      </c>
      <c r="F13" s="39">
        <f t="shared" si="9"/>
        <v>120690.625</v>
      </c>
      <c r="G13" s="39">
        <f t="shared" si="9"/>
        <v>119221.875</v>
      </c>
      <c r="H13" s="39">
        <f t="shared" si="9"/>
        <v>131578.125</v>
      </c>
      <c r="I13" s="39">
        <f t="shared" si="9"/>
        <v>138109.375</v>
      </c>
      <c r="J13" s="39">
        <f t="shared" si="9"/>
        <v>151465.625</v>
      </c>
      <c r="K13" s="39">
        <f t="shared" si="9"/>
        <v>169321.875</v>
      </c>
      <c r="L13" s="39">
        <f t="shared" si="9"/>
        <v>175178.125</v>
      </c>
      <c r="M13" s="39">
        <f t="shared" si="9"/>
        <v>193034.375</v>
      </c>
      <c r="N13" s="39">
        <f t="shared" si="9"/>
        <v>206390.625</v>
      </c>
      <c r="O13" s="39">
        <f t="shared" si="9"/>
        <v>200406.25</v>
      </c>
      <c r="P13" s="39">
        <f t="shared" si="9"/>
        <v>206731.25</v>
      </c>
      <c r="Q13" s="39">
        <f t="shared" si="9"/>
        <v>209231.25</v>
      </c>
      <c r="R13" s="39">
        <f t="shared" si="9"/>
        <v>208056.25</v>
      </c>
      <c r="S13" s="39">
        <f t="shared" si="9"/>
        <v>210556.25</v>
      </c>
      <c r="T13" s="39">
        <f t="shared" si="9"/>
        <v>213056.25</v>
      </c>
      <c r="U13" s="39">
        <f t="shared" si="9"/>
        <v>208056.25</v>
      </c>
      <c r="V13" s="39">
        <f t="shared" si="9"/>
        <v>210556.25</v>
      </c>
      <c r="W13" s="39">
        <f t="shared" si="9"/>
        <v>213056.25</v>
      </c>
      <c r="X13" s="39">
        <f t="shared" si="9"/>
        <v>208056.25</v>
      </c>
      <c r="Y13" s="39">
        <f t="shared" si="9"/>
        <v>210556.25</v>
      </c>
      <c r="Z13" s="39">
        <f t="shared" si="9"/>
        <v>213056.25</v>
      </c>
      <c r="AA13" s="39">
        <f t="shared" si="9"/>
        <v>207556.25</v>
      </c>
      <c r="AB13" s="39">
        <f t="shared" si="9"/>
        <v>209556.25</v>
      </c>
      <c r="AC13" s="39">
        <f t="shared" si="9"/>
        <v>211556.25</v>
      </c>
      <c r="AD13" s="39">
        <f t="shared" si="9"/>
        <v>206056.25</v>
      </c>
      <c r="AE13" s="39">
        <f t="shared" si="9"/>
        <v>208056.25</v>
      </c>
      <c r="AF13" s="39">
        <f t="shared" si="9"/>
        <v>210056.25</v>
      </c>
      <c r="AG13" s="39">
        <f t="shared" si="9"/>
        <v>204556.25</v>
      </c>
      <c r="AH13" s="39">
        <f t="shared" si="9"/>
        <v>206556.25</v>
      </c>
      <c r="AI13" s="39">
        <f t="shared" si="9"/>
        <v>208556.25</v>
      </c>
      <c r="AJ13" s="39">
        <f t="shared" si="9"/>
        <v>203056.25</v>
      </c>
      <c r="AK13" s="39">
        <f t="shared" si="9"/>
        <v>205056.25</v>
      </c>
      <c r="AL13" s="39">
        <f t="shared" si="9"/>
        <v>207056.25</v>
      </c>
    </row>
    <row r="14" spans="1:38" ht="15.75" x14ac:dyDescent="0.25">
      <c r="A14" t="s">
        <v>61</v>
      </c>
      <c r="B14" s="47"/>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6" spans="1:38" ht="16.5" x14ac:dyDescent="0.25">
      <c r="A16" t="s">
        <v>83</v>
      </c>
      <c r="C16" s="58">
        <v>650</v>
      </c>
      <c r="D16" s="48">
        <f>C16+C17</f>
        <v>650</v>
      </c>
      <c r="E16" s="48">
        <f t="shared" ref="E16:AL16" si="10">D16+D17</f>
        <v>675</v>
      </c>
      <c r="F16" s="48">
        <f t="shared" si="10"/>
        <v>700</v>
      </c>
      <c r="G16" s="48">
        <f t="shared" si="10"/>
        <v>725</v>
      </c>
      <c r="H16" s="48">
        <f t="shared" si="10"/>
        <v>750</v>
      </c>
      <c r="I16" s="48">
        <f t="shared" si="10"/>
        <v>775</v>
      </c>
      <c r="J16" s="48">
        <f t="shared" si="10"/>
        <v>800</v>
      </c>
      <c r="K16" s="48">
        <f t="shared" si="10"/>
        <v>825</v>
      </c>
      <c r="L16" s="48">
        <f t="shared" si="10"/>
        <v>850</v>
      </c>
      <c r="M16" s="48">
        <f t="shared" si="10"/>
        <v>875</v>
      </c>
      <c r="N16" s="48">
        <f t="shared" si="10"/>
        <v>900</v>
      </c>
      <c r="O16" s="48">
        <f t="shared" si="10"/>
        <v>925</v>
      </c>
      <c r="P16" s="48">
        <f t="shared" si="10"/>
        <v>925</v>
      </c>
      <c r="Q16" s="48">
        <f t="shared" si="10"/>
        <v>925</v>
      </c>
      <c r="R16" s="48">
        <f t="shared" si="10"/>
        <v>925</v>
      </c>
      <c r="S16" s="48">
        <f t="shared" si="10"/>
        <v>925</v>
      </c>
      <c r="T16" s="48">
        <f t="shared" si="10"/>
        <v>925</v>
      </c>
      <c r="U16" s="48">
        <f t="shared" si="10"/>
        <v>925</v>
      </c>
      <c r="V16" s="48">
        <f t="shared" si="10"/>
        <v>925</v>
      </c>
      <c r="W16" s="48">
        <f t="shared" si="10"/>
        <v>925</v>
      </c>
      <c r="X16" s="48">
        <f t="shared" si="10"/>
        <v>925</v>
      </c>
      <c r="Y16" s="48">
        <f t="shared" si="10"/>
        <v>925</v>
      </c>
      <c r="Z16" s="48">
        <f t="shared" si="10"/>
        <v>925</v>
      </c>
      <c r="AA16" s="48">
        <f t="shared" si="10"/>
        <v>925</v>
      </c>
      <c r="AB16" s="48">
        <f t="shared" si="10"/>
        <v>925</v>
      </c>
      <c r="AC16" s="48">
        <f t="shared" si="10"/>
        <v>925</v>
      </c>
      <c r="AD16" s="48">
        <f t="shared" si="10"/>
        <v>925</v>
      </c>
      <c r="AE16" s="48">
        <f t="shared" si="10"/>
        <v>925</v>
      </c>
      <c r="AF16" s="48">
        <f t="shared" si="10"/>
        <v>925</v>
      </c>
      <c r="AG16" s="48">
        <f t="shared" si="10"/>
        <v>925</v>
      </c>
      <c r="AH16" s="48">
        <f t="shared" si="10"/>
        <v>925</v>
      </c>
      <c r="AI16" s="48">
        <f t="shared" si="10"/>
        <v>925</v>
      </c>
      <c r="AJ16" s="48">
        <f t="shared" si="10"/>
        <v>925</v>
      </c>
      <c r="AK16" s="48">
        <f t="shared" si="10"/>
        <v>925</v>
      </c>
      <c r="AL16" s="48">
        <f t="shared" si="10"/>
        <v>925</v>
      </c>
    </row>
    <row r="17" spans="1:38" ht="15.75" x14ac:dyDescent="0.25">
      <c r="A17" t="s">
        <v>84</v>
      </c>
      <c r="C17" s="26">
        <v>0</v>
      </c>
      <c r="D17" s="25">
        <v>25</v>
      </c>
      <c r="E17" s="25">
        <v>25</v>
      </c>
      <c r="F17" s="25">
        <v>25</v>
      </c>
      <c r="G17" s="25">
        <v>25</v>
      </c>
      <c r="H17" s="25">
        <v>25</v>
      </c>
      <c r="I17" s="25">
        <v>25</v>
      </c>
      <c r="J17" s="25">
        <v>25</v>
      </c>
      <c r="K17" s="25">
        <v>25</v>
      </c>
      <c r="L17" s="25">
        <v>25</v>
      </c>
      <c r="M17" s="25">
        <v>25</v>
      </c>
      <c r="N17" s="25">
        <v>25</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row>
    <row r="18" spans="1:38" x14ac:dyDescent="0.25">
      <c r="A18" s="11" t="s">
        <v>29</v>
      </c>
    </row>
    <row r="19" spans="1:38" ht="15.75" x14ac:dyDescent="0.25">
      <c r="A19" s="11" t="s">
        <v>26</v>
      </c>
      <c r="B19" s="27">
        <v>975</v>
      </c>
      <c r="C19" s="26">
        <f t="shared" ref="C19:AL19" si="11">C17*$B$19</f>
        <v>0</v>
      </c>
      <c r="D19" s="26">
        <f t="shared" si="11"/>
        <v>24375</v>
      </c>
      <c r="E19" s="26">
        <f t="shared" si="11"/>
        <v>24375</v>
      </c>
      <c r="F19" s="26">
        <f t="shared" si="11"/>
        <v>24375</v>
      </c>
      <c r="G19" s="26">
        <f t="shared" si="11"/>
        <v>24375</v>
      </c>
      <c r="H19" s="26">
        <f t="shared" si="11"/>
        <v>24375</v>
      </c>
      <c r="I19" s="26">
        <f t="shared" si="11"/>
        <v>24375</v>
      </c>
      <c r="J19" s="26">
        <f t="shared" si="11"/>
        <v>24375</v>
      </c>
      <c r="K19" s="26">
        <f t="shared" si="11"/>
        <v>24375</v>
      </c>
      <c r="L19" s="26">
        <f t="shared" si="11"/>
        <v>24375</v>
      </c>
      <c r="M19" s="26">
        <f t="shared" si="11"/>
        <v>24375</v>
      </c>
      <c r="N19" s="26">
        <f t="shared" si="11"/>
        <v>24375</v>
      </c>
      <c r="O19" s="26">
        <f t="shared" si="11"/>
        <v>0</v>
      </c>
      <c r="P19" s="26">
        <f t="shared" si="11"/>
        <v>0</v>
      </c>
      <c r="Q19" s="26">
        <f t="shared" si="11"/>
        <v>0</v>
      </c>
      <c r="R19" s="26">
        <f t="shared" si="11"/>
        <v>0</v>
      </c>
      <c r="S19" s="26">
        <f t="shared" si="11"/>
        <v>0</v>
      </c>
      <c r="T19" s="26">
        <f t="shared" si="11"/>
        <v>0</v>
      </c>
      <c r="U19" s="26">
        <f t="shared" si="11"/>
        <v>0</v>
      </c>
      <c r="V19" s="26">
        <f t="shared" si="11"/>
        <v>0</v>
      </c>
      <c r="W19" s="26">
        <f t="shared" si="11"/>
        <v>0</v>
      </c>
      <c r="X19" s="26">
        <f t="shared" si="11"/>
        <v>0</v>
      </c>
      <c r="Y19" s="26">
        <f t="shared" si="11"/>
        <v>0</v>
      </c>
      <c r="Z19" s="26">
        <f t="shared" si="11"/>
        <v>0</v>
      </c>
      <c r="AA19" s="26">
        <f t="shared" si="11"/>
        <v>0</v>
      </c>
      <c r="AB19" s="26">
        <f t="shared" si="11"/>
        <v>0</v>
      </c>
      <c r="AC19" s="26">
        <f t="shared" si="11"/>
        <v>0</v>
      </c>
      <c r="AD19" s="26">
        <f t="shared" si="11"/>
        <v>0</v>
      </c>
      <c r="AE19" s="26">
        <f t="shared" si="11"/>
        <v>0</v>
      </c>
      <c r="AF19" s="26">
        <f t="shared" si="11"/>
        <v>0</v>
      </c>
      <c r="AG19" s="26">
        <f t="shared" si="11"/>
        <v>0</v>
      </c>
      <c r="AH19" s="26">
        <f t="shared" si="11"/>
        <v>0</v>
      </c>
      <c r="AI19" s="26">
        <f t="shared" si="11"/>
        <v>0</v>
      </c>
      <c r="AJ19" s="26">
        <f t="shared" si="11"/>
        <v>0</v>
      </c>
      <c r="AK19" s="26">
        <f t="shared" si="11"/>
        <v>0</v>
      </c>
      <c r="AL19" s="26">
        <f t="shared" si="11"/>
        <v>0</v>
      </c>
    </row>
    <row r="20" spans="1:38" ht="15.75" x14ac:dyDescent="0.25">
      <c r="A20" s="49" t="s">
        <v>27</v>
      </c>
      <c r="B20">
        <v>0.75</v>
      </c>
      <c r="C20" s="26"/>
      <c r="D20" s="25"/>
      <c r="E20" s="25"/>
      <c r="F20" s="25"/>
      <c r="G20" s="25"/>
      <c r="H20" s="25">
        <f t="shared" ref="H20:AL20" si="12">C19*$B$20</f>
        <v>0</v>
      </c>
      <c r="I20" s="25">
        <f t="shared" si="12"/>
        <v>18281.25</v>
      </c>
      <c r="J20" s="25">
        <f t="shared" si="12"/>
        <v>18281.25</v>
      </c>
      <c r="K20" s="25">
        <f t="shared" si="12"/>
        <v>18281.25</v>
      </c>
      <c r="L20" s="25">
        <f t="shared" si="12"/>
        <v>18281.25</v>
      </c>
      <c r="M20" s="25">
        <f t="shared" si="12"/>
        <v>18281.25</v>
      </c>
      <c r="N20" s="25">
        <f t="shared" si="12"/>
        <v>18281.25</v>
      </c>
      <c r="O20" s="25">
        <f t="shared" si="12"/>
        <v>18281.25</v>
      </c>
      <c r="P20" s="25">
        <f t="shared" si="12"/>
        <v>18281.25</v>
      </c>
      <c r="Q20" s="25">
        <f t="shared" si="12"/>
        <v>18281.25</v>
      </c>
      <c r="R20" s="25">
        <f t="shared" si="12"/>
        <v>18281.25</v>
      </c>
      <c r="S20" s="25">
        <f t="shared" si="12"/>
        <v>18281.25</v>
      </c>
      <c r="T20" s="25">
        <f t="shared" si="12"/>
        <v>0</v>
      </c>
      <c r="U20" s="25">
        <f t="shared" si="12"/>
        <v>0</v>
      </c>
      <c r="V20" s="25">
        <f t="shared" si="12"/>
        <v>0</v>
      </c>
      <c r="W20" s="25">
        <f t="shared" si="12"/>
        <v>0</v>
      </c>
      <c r="X20" s="25">
        <f t="shared" si="12"/>
        <v>0</v>
      </c>
      <c r="Y20" s="25">
        <f t="shared" si="12"/>
        <v>0</v>
      </c>
      <c r="Z20" s="25">
        <f t="shared" si="12"/>
        <v>0</v>
      </c>
      <c r="AA20" s="25">
        <f t="shared" si="12"/>
        <v>0</v>
      </c>
      <c r="AB20" s="25">
        <f t="shared" si="12"/>
        <v>0</v>
      </c>
      <c r="AC20" s="25">
        <f t="shared" si="12"/>
        <v>0</v>
      </c>
      <c r="AD20" s="25">
        <f t="shared" si="12"/>
        <v>0</v>
      </c>
      <c r="AE20" s="25">
        <f t="shared" si="12"/>
        <v>0</v>
      </c>
      <c r="AF20" s="25">
        <f t="shared" si="12"/>
        <v>0</v>
      </c>
      <c r="AG20" s="25">
        <f t="shared" si="12"/>
        <v>0</v>
      </c>
      <c r="AH20" s="25">
        <f t="shared" si="12"/>
        <v>0</v>
      </c>
      <c r="AI20" s="25">
        <f t="shared" si="12"/>
        <v>0</v>
      </c>
      <c r="AJ20" s="25">
        <f t="shared" si="12"/>
        <v>0</v>
      </c>
      <c r="AK20" s="25">
        <f t="shared" si="12"/>
        <v>0</v>
      </c>
      <c r="AL20" s="25">
        <f t="shared" si="12"/>
        <v>0</v>
      </c>
    </row>
    <row r="21" spans="1:38" ht="15.75" x14ac:dyDescent="0.25">
      <c r="A21" s="49" t="s">
        <v>28</v>
      </c>
      <c r="B21">
        <v>0.2</v>
      </c>
      <c r="C21" s="26"/>
      <c r="D21" s="25"/>
      <c r="E21" s="25"/>
      <c r="F21" s="25"/>
      <c r="G21" s="25"/>
      <c r="H21" s="25"/>
      <c r="I21" s="25"/>
      <c r="J21" s="25">
        <f t="shared" ref="J21:AL21" si="13">C19*$B$21</f>
        <v>0</v>
      </c>
      <c r="K21" s="25">
        <f t="shared" si="13"/>
        <v>4875</v>
      </c>
      <c r="L21" s="25">
        <f t="shared" si="13"/>
        <v>4875</v>
      </c>
      <c r="M21" s="25">
        <f t="shared" si="13"/>
        <v>4875</v>
      </c>
      <c r="N21" s="25">
        <f t="shared" si="13"/>
        <v>4875</v>
      </c>
      <c r="O21" s="25">
        <f t="shared" si="13"/>
        <v>4875</v>
      </c>
      <c r="P21" s="25">
        <f t="shared" si="13"/>
        <v>4875</v>
      </c>
      <c r="Q21" s="25">
        <f t="shared" si="13"/>
        <v>4875</v>
      </c>
      <c r="R21" s="25">
        <f t="shared" si="13"/>
        <v>4875</v>
      </c>
      <c r="S21" s="25">
        <f t="shared" si="13"/>
        <v>4875</v>
      </c>
      <c r="T21" s="25">
        <f t="shared" si="13"/>
        <v>4875</v>
      </c>
      <c r="U21" s="25">
        <f t="shared" si="13"/>
        <v>4875</v>
      </c>
      <c r="V21" s="25">
        <f t="shared" si="13"/>
        <v>0</v>
      </c>
      <c r="W21" s="25">
        <f t="shared" si="13"/>
        <v>0</v>
      </c>
      <c r="X21" s="25">
        <f t="shared" si="13"/>
        <v>0</v>
      </c>
      <c r="Y21" s="25">
        <f t="shared" si="13"/>
        <v>0</v>
      </c>
      <c r="Z21" s="25">
        <f t="shared" si="13"/>
        <v>0</v>
      </c>
      <c r="AA21" s="25">
        <f t="shared" si="13"/>
        <v>0</v>
      </c>
      <c r="AB21" s="25">
        <f t="shared" si="13"/>
        <v>0</v>
      </c>
      <c r="AC21" s="25">
        <f t="shared" si="13"/>
        <v>0</v>
      </c>
      <c r="AD21" s="25">
        <f t="shared" si="13"/>
        <v>0</v>
      </c>
      <c r="AE21" s="25">
        <f t="shared" si="13"/>
        <v>0</v>
      </c>
      <c r="AF21" s="25">
        <f t="shared" si="13"/>
        <v>0</v>
      </c>
      <c r="AG21" s="25">
        <f t="shared" si="13"/>
        <v>0</v>
      </c>
      <c r="AH21" s="25">
        <f t="shared" si="13"/>
        <v>0</v>
      </c>
      <c r="AI21" s="25">
        <f t="shared" si="13"/>
        <v>0</v>
      </c>
      <c r="AJ21" s="25">
        <f t="shared" si="13"/>
        <v>0</v>
      </c>
      <c r="AK21" s="25">
        <f t="shared" si="13"/>
        <v>0</v>
      </c>
      <c r="AL21" s="25">
        <f t="shared" si="13"/>
        <v>0</v>
      </c>
    </row>
    <row r="22" spans="1:38" x14ac:dyDescent="0.25">
      <c r="A22" s="29" t="s">
        <v>85</v>
      </c>
    </row>
    <row r="23" spans="1:38" ht="15.75" x14ac:dyDescent="0.25">
      <c r="A23" s="11" t="s">
        <v>86</v>
      </c>
      <c r="C23" s="26">
        <v>1</v>
      </c>
      <c r="D23" s="25">
        <v>1</v>
      </c>
      <c r="E23" s="25">
        <v>1</v>
      </c>
      <c r="F23" s="25">
        <v>2</v>
      </c>
      <c r="G23" s="25">
        <v>2</v>
      </c>
      <c r="H23" s="25">
        <v>3</v>
      </c>
      <c r="I23" s="25">
        <v>3</v>
      </c>
      <c r="J23" s="25">
        <v>4</v>
      </c>
      <c r="K23" s="25">
        <v>5</v>
      </c>
      <c r="L23" s="25">
        <v>6</v>
      </c>
      <c r="M23" s="25">
        <v>7</v>
      </c>
      <c r="N23" s="25">
        <v>8</v>
      </c>
      <c r="O23" s="25">
        <v>8</v>
      </c>
      <c r="P23" s="25">
        <v>9</v>
      </c>
      <c r="Q23" s="25">
        <v>9</v>
      </c>
      <c r="R23" s="25">
        <v>10</v>
      </c>
      <c r="S23" s="25">
        <v>10</v>
      </c>
      <c r="T23" s="25">
        <v>10</v>
      </c>
      <c r="U23" s="25">
        <v>10</v>
      </c>
      <c r="V23" s="25">
        <v>10</v>
      </c>
      <c r="W23" s="25">
        <v>10</v>
      </c>
      <c r="X23" s="25">
        <v>10</v>
      </c>
      <c r="Y23" s="25">
        <v>10</v>
      </c>
      <c r="Z23" s="25">
        <v>10</v>
      </c>
      <c r="AA23" s="25">
        <v>10</v>
      </c>
      <c r="AB23" s="25">
        <v>10</v>
      </c>
      <c r="AC23" s="25">
        <v>10</v>
      </c>
      <c r="AD23" s="25">
        <v>10</v>
      </c>
      <c r="AE23" s="25">
        <v>10</v>
      </c>
      <c r="AF23" s="25">
        <v>10</v>
      </c>
      <c r="AG23" s="25">
        <v>10</v>
      </c>
      <c r="AH23" s="25">
        <v>10</v>
      </c>
      <c r="AI23" s="25">
        <v>10</v>
      </c>
      <c r="AJ23" s="25">
        <v>10</v>
      </c>
      <c r="AK23" s="25">
        <v>10</v>
      </c>
      <c r="AL23" s="25">
        <v>10</v>
      </c>
    </row>
    <row r="24" spans="1:38" ht="15.75" x14ac:dyDescent="0.25">
      <c r="A24" s="11" t="s">
        <v>26</v>
      </c>
      <c r="B24" s="27">
        <v>17000</v>
      </c>
      <c r="C24" s="26">
        <f t="shared" ref="C24:AL24" si="14">C23*$B$24</f>
        <v>17000</v>
      </c>
      <c r="D24" s="26">
        <f t="shared" si="14"/>
        <v>17000</v>
      </c>
      <c r="E24" s="26">
        <f t="shared" si="14"/>
        <v>17000</v>
      </c>
      <c r="F24" s="26">
        <f t="shared" si="14"/>
        <v>34000</v>
      </c>
      <c r="G24" s="26">
        <f t="shared" si="14"/>
        <v>34000</v>
      </c>
      <c r="H24" s="26">
        <f t="shared" si="14"/>
        <v>51000</v>
      </c>
      <c r="I24" s="26">
        <f t="shared" si="14"/>
        <v>51000</v>
      </c>
      <c r="J24" s="26">
        <f t="shared" si="14"/>
        <v>68000</v>
      </c>
      <c r="K24" s="26">
        <f t="shared" si="14"/>
        <v>85000</v>
      </c>
      <c r="L24" s="26">
        <f t="shared" si="14"/>
        <v>102000</v>
      </c>
      <c r="M24" s="26">
        <f t="shared" si="14"/>
        <v>119000</v>
      </c>
      <c r="N24" s="26">
        <f t="shared" si="14"/>
        <v>136000</v>
      </c>
      <c r="O24" s="26">
        <f t="shared" si="14"/>
        <v>136000</v>
      </c>
      <c r="P24" s="26">
        <f t="shared" si="14"/>
        <v>153000</v>
      </c>
      <c r="Q24" s="26">
        <f t="shared" si="14"/>
        <v>153000</v>
      </c>
      <c r="R24" s="26">
        <f t="shared" si="14"/>
        <v>170000</v>
      </c>
      <c r="S24" s="26">
        <f t="shared" si="14"/>
        <v>170000</v>
      </c>
      <c r="T24" s="26">
        <f t="shared" si="14"/>
        <v>170000</v>
      </c>
      <c r="U24" s="26">
        <f t="shared" si="14"/>
        <v>170000</v>
      </c>
      <c r="V24" s="26">
        <f t="shared" si="14"/>
        <v>170000</v>
      </c>
      <c r="W24" s="26">
        <f t="shared" si="14"/>
        <v>170000</v>
      </c>
      <c r="X24" s="26">
        <f t="shared" si="14"/>
        <v>170000</v>
      </c>
      <c r="Y24" s="26">
        <f t="shared" si="14"/>
        <v>170000</v>
      </c>
      <c r="Z24" s="26">
        <f t="shared" si="14"/>
        <v>170000</v>
      </c>
      <c r="AA24" s="26">
        <f t="shared" si="14"/>
        <v>170000</v>
      </c>
      <c r="AB24" s="26">
        <f t="shared" si="14"/>
        <v>170000</v>
      </c>
      <c r="AC24" s="26">
        <f t="shared" si="14"/>
        <v>170000</v>
      </c>
      <c r="AD24" s="26">
        <f t="shared" si="14"/>
        <v>170000</v>
      </c>
      <c r="AE24" s="26">
        <f t="shared" si="14"/>
        <v>170000</v>
      </c>
      <c r="AF24" s="26">
        <f t="shared" si="14"/>
        <v>170000</v>
      </c>
      <c r="AG24" s="26">
        <f t="shared" si="14"/>
        <v>170000</v>
      </c>
      <c r="AH24" s="26">
        <f t="shared" si="14"/>
        <v>170000</v>
      </c>
      <c r="AI24" s="26">
        <f t="shared" si="14"/>
        <v>170000</v>
      </c>
      <c r="AJ24" s="26">
        <f t="shared" si="14"/>
        <v>170000</v>
      </c>
      <c r="AK24" s="26">
        <f t="shared" si="14"/>
        <v>170000</v>
      </c>
      <c r="AL24" s="26">
        <f t="shared" si="14"/>
        <v>170000</v>
      </c>
    </row>
    <row r="25" spans="1:38" ht="15.75" x14ac:dyDescent="0.25">
      <c r="A25" s="49" t="s">
        <v>30</v>
      </c>
      <c r="B25">
        <v>0.95</v>
      </c>
      <c r="C25" s="26"/>
      <c r="D25" s="25"/>
      <c r="E25" s="25"/>
      <c r="F25" s="25"/>
      <c r="G25" s="25">
        <f t="shared" ref="G25:AL25" si="15">C24*$B$25</f>
        <v>16150</v>
      </c>
      <c r="H25" s="25">
        <f t="shared" si="15"/>
        <v>16150</v>
      </c>
      <c r="I25" s="25">
        <f t="shared" si="15"/>
        <v>16150</v>
      </c>
      <c r="J25" s="25">
        <f t="shared" si="15"/>
        <v>32300</v>
      </c>
      <c r="K25" s="25">
        <f t="shared" si="15"/>
        <v>32300</v>
      </c>
      <c r="L25" s="25">
        <f t="shared" si="15"/>
        <v>48450</v>
      </c>
      <c r="M25" s="25">
        <f t="shared" si="15"/>
        <v>48450</v>
      </c>
      <c r="N25" s="25">
        <f t="shared" si="15"/>
        <v>64600</v>
      </c>
      <c r="O25" s="25">
        <f t="shared" si="15"/>
        <v>80750</v>
      </c>
      <c r="P25" s="25">
        <f t="shared" si="15"/>
        <v>96900</v>
      </c>
      <c r="Q25" s="25">
        <f t="shared" si="15"/>
        <v>113050</v>
      </c>
      <c r="R25" s="25">
        <f t="shared" si="15"/>
        <v>129200</v>
      </c>
      <c r="S25" s="25">
        <f t="shared" si="15"/>
        <v>129200</v>
      </c>
      <c r="T25" s="25">
        <f t="shared" si="15"/>
        <v>145350</v>
      </c>
      <c r="U25" s="25">
        <f t="shared" si="15"/>
        <v>145350</v>
      </c>
      <c r="V25" s="25">
        <f t="shared" si="15"/>
        <v>161500</v>
      </c>
      <c r="W25" s="25">
        <f t="shared" si="15"/>
        <v>161500</v>
      </c>
      <c r="X25" s="25">
        <f t="shared" si="15"/>
        <v>161500</v>
      </c>
      <c r="Y25" s="25">
        <f t="shared" si="15"/>
        <v>161500</v>
      </c>
      <c r="Z25" s="25">
        <f t="shared" si="15"/>
        <v>161500</v>
      </c>
      <c r="AA25" s="25">
        <f t="shared" si="15"/>
        <v>161500</v>
      </c>
      <c r="AB25" s="25">
        <f t="shared" si="15"/>
        <v>161500</v>
      </c>
      <c r="AC25" s="25">
        <f t="shared" si="15"/>
        <v>161500</v>
      </c>
      <c r="AD25" s="25">
        <f t="shared" si="15"/>
        <v>161500</v>
      </c>
      <c r="AE25" s="25">
        <f t="shared" si="15"/>
        <v>161500</v>
      </c>
      <c r="AF25" s="25">
        <f t="shared" si="15"/>
        <v>161500</v>
      </c>
      <c r="AG25" s="25">
        <f t="shared" si="15"/>
        <v>161500</v>
      </c>
      <c r="AH25" s="25">
        <f t="shared" si="15"/>
        <v>161500</v>
      </c>
      <c r="AI25" s="25">
        <f t="shared" si="15"/>
        <v>161500</v>
      </c>
      <c r="AJ25" s="25">
        <f t="shared" si="15"/>
        <v>161500</v>
      </c>
      <c r="AK25" s="25">
        <f t="shared" si="15"/>
        <v>161500</v>
      </c>
      <c r="AL25" s="25">
        <f t="shared" si="15"/>
        <v>161500</v>
      </c>
    </row>
    <row r="26" spans="1:38" ht="15.75" x14ac:dyDescent="0.25">
      <c r="A26" s="11"/>
      <c r="C26" s="26"/>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row>
    <row r="27" spans="1:38" ht="15.75" x14ac:dyDescent="0.25">
      <c r="A27" s="29" t="s">
        <v>87</v>
      </c>
      <c r="C27" s="26"/>
      <c r="D27" s="25"/>
      <c r="E27" s="25"/>
      <c r="F27" s="25">
        <v>4</v>
      </c>
      <c r="G27" s="25">
        <v>4</v>
      </c>
      <c r="H27" s="25">
        <v>4</v>
      </c>
      <c r="I27" s="25">
        <v>6</v>
      </c>
      <c r="J27" s="25">
        <v>6</v>
      </c>
      <c r="K27" s="25">
        <v>8</v>
      </c>
      <c r="L27" s="25">
        <v>8</v>
      </c>
      <c r="M27" s="25">
        <v>10</v>
      </c>
      <c r="N27" s="25">
        <v>10</v>
      </c>
      <c r="O27" s="25">
        <v>12</v>
      </c>
      <c r="P27" s="25">
        <v>12</v>
      </c>
      <c r="Q27" s="25">
        <v>12</v>
      </c>
      <c r="R27" s="25">
        <v>12</v>
      </c>
      <c r="S27" s="25">
        <v>12</v>
      </c>
      <c r="T27" s="25">
        <v>12</v>
      </c>
      <c r="U27" s="25">
        <v>12</v>
      </c>
      <c r="V27" s="25">
        <v>12</v>
      </c>
      <c r="W27" s="25">
        <v>12</v>
      </c>
      <c r="X27" s="25">
        <v>12</v>
      </c>
      <c r="Y27" s="25">
        <v>12</v>
      </c>
      <c r="Z27" s="25">
        <v>12</v>
      </c>
      <c r="AA27" s="25">
        <v>12</v>
      </c>
      <c r="AB27" s="25">
        <v>12</v>
      </c>
      <c r="AC27" s="25">
        <v>12</v>
      </c>
      <c r="AD27" s="25">
        <v>12</v>
      </c>
      <c r="AE27" s="25">
        <v>12</v>
      </c>
      <c r="AF27" s="25">
        <v>12</v>
      </c>
      <c r="AG27" s="25">
        <v>12</v>
      </c>
      <c r="AH27" s="25">
        <v>12</v>
      </c>
      <c r="AI27" s="25">
        <v>12</v>
      </c>
      <c r="AJ27" s="25">
        <v>12</v>
      </c>
      <c r="AK27" s="25">
        <v>12</v>
      </c>
      <c r="AL27" s="25">
        <v>12</v>
      </c>
    </row>
    <row r="28" spans="1:38" ht="15.75" x14ac:dyDescent="0.25">
      <c r="A28" s="11" t="s">
        <v>88</v>
      </c>
      <c r="B28">
        <v>10000</v>
      </c>
      <c r="C28" s="26"/>
      <c r="D28" s="25"/>
      <c r="E28" s="25"/>
      <c r="F28" s="25">
        <v>10000</v>
      </c>
      <c r="G28" s="25">
        <v>10000</v>
      </c>
      <c r="H28" s="25">
        <v>10000</v>
      </c>
      <c r="I28" s="25">
        <v>10000</v>
      </c>
      <c r="J28" s="25">
        <v>10000</v>
      </c>
      <c r="K28" s="25">
        <v>10000</v>
      </c>
      <c r="L28" s="25">
        <v>10000</v>
      </c>
      <c r="M28" s="25">
        <v>10000</v>
      </c>
      <c r="N28" s="25">
        <v>10000</v>
      </c>
      <c r="O28" s="25">
        <v>10000</v>
      </c>
      <c r="P28" s="25">
        <v>10000</v>
      </c>
      <c r="Q28" s="25">
        <v>10000</v>
      </c>
      <c r="R28" s="25">
        <v>10000</v>
      </c>
      <c r="S28" s="25">
        <v>10000</v>
      </c>
      <c r="T28" s="25">
        <v>10000</v>
      </c>
      <c r="U28" s="25">
        <v>10000</v>
      </c>
      <c r="V28" s="25">
        <v>10000</v>
      </c>
      <c r="W28" s="25">
        <v>10000</v>
      </c>
      <c r="X28" s="25">
        <v>10000</v>
      </c>
      <c r="Y28" s="25">
        <v>10000</v>
      </c>
      <c r="Z28" s="25">
        <v>10000</v>
      </c>
      <c r="AA28" s="25">
        <v>10000</v>
      </c>
      <c r="AB28" s="25">
        <v>10000</v>
      </c>
      <c r="AC28" s="25">
        <v>10000</v>
      </c>
      <c r="AD28" s="25">
        <v>10000</v>
      </c>
      <c r="AE28" s="25">
        <v>10000</v>
      </c>
      <c r="AF28" s="25">
        <v>10000</v>
      </c>
      <c r="AG28" s="25">
        <v>10000</v>
      </c>
      <c r="AH28" s="25">
        <v>10000</v>
      </c>
      <c r="AI28" s="25">
        <v>10000</v>
      </c>
      <c r="AJ28" s="25">
        <v>10000</v>
      </c>
      <c r="AK28" s="25">
        <v>10000</v>
      </c>
      <c r="AL28" s="25">
        <v>10000</v>
      </c>
    </row>
    <row r="29" spans="1:38" x14ac:dyDescent="0.25">
      <c r="A29" s="11" t="s">
        <v>89</v>
      </c>
      <c r="F29" s="30">
        <f>F27*F28</f>
        <v>40000</v>
      </c>
      <c r="G29" s="30">
        <f t="shared" ref="G29:AL29" si="16">G27*G28</f>
        <v>40000</v>
      </c>
      <c r="H29" s="30">
        <f t="shared" si="16"/>
        <v>40000</v>
      </c>
      <c r="I29" s="30">
        <f t="shared" si="16"/>
        <v>60000</v>
      </c>
      <c r="J29" s="30">
        <f t="shared" si="16"/>
        <v>60000</v>
      </c>
      <c r="K29" s="30">
        <f t="shared" si="16"/>
        <v>80000</v>
      </c>
      <c r="L29" s="30">
        <f t="shared" si="16"/>
        <v>80000</v>
      </c>
      <c r="M29" s="30">
        <f t="shared" si="16"/>
        <v>100000</v>
      </c>
      <c r="N29" s="30">
        <f t="shared" si="16"/>
        <v>100000</v>
      </c>
      <c r="O29" s="30">
        <f t="shared" si="16"/>
        <v>120000</v>
      </c>
      <c r="P29" s="30">
        <f t="shared" si="16"/>
        <v>120000</v>
      </c>
      <c r="Q29" s="30">
        <f t="shared" si="16"/>
        <v>120000</v>
      </c>
      <c r="R29" s="30">
        <f t="shared" si="16"/>
        <v>120000</v>
      </c>
      <c r="S29" s="30">
        <f t="shared" si="16"/>
        <v>120000</v>
      </c>
      <c r="T29" s="30">
        <f t="shared" si="16"/>
        <v>120000</v>
      </c>
      <c r="U29" s="30">
        <f t="shared" si="16"/>
        <v>120000</v>
      </c>
      <c r="V29" s="30">
        <f t="shared" si="16"/>
        <v>120000</v>
      </c>
      <c r="W29" s="30">
        <f t="shared" si="16"/>
        <v>120000</v>
      </c>
      <c r="X29" s="30">
        <f t="shared" si="16"/>
        <v>120000</v>
      </c>
      <c r="Y29" s="30">
        <f t="shared" si="16"/>
        <v>120000</v>
      </c>
      <c r="Z29" s="30">
        <f t="shared" si="16"/>
        <v>120000</v>
      </c>
      <c r="AA29" s="30">
        <f t="shared" si="16"/>
        <v>120000</v>
      </c>
      <c r="AB29" s="30">
        <f t="shared" si="16"/>
        <v>120000</v>
      </c>
      <c r="AC29" s="30">
        <f t="shared" si="16"/>
        <v>120000</v>
      </c>
      <c r="AD29" s="30">
        <f t="shared" si="16"/>
        <v>120000</v>
      </c>
      <c r="AE29" s="30">
        <f t="shared" si="16"/>
        <v>120000</v>
      </c>
      <c r="AF29" s="30">
        <f t="shared" si="16"/>
        <v>120000</v>
      </c>
      <c r="AG29" s="30">
        <f t="shared" si="16"/>
        <v>120000</v>
      </c>
      <c r="AH29" s="30">
        <f t="shared" si="16"/>
        <v>120000</v>
      </c>
      <c r="AI29" s="30">
        <f t="shared" si="16"/>
        <v>120000</v>
      </c>
      <c r="AJ29" s="30">
        <f t="shared" si="16"/>
        <v>120000</v>
      </c>
      <c r="AK29" s="30">
        <f t="shared" si="16"/>
        <v>120000</v>
      </c>
      <c r="AL29" s="30">
        <f t="shared" si="16"/>
        <v>120000</v>
      </c>
    </row>
    <row r="30" spans="1:38" ht="15.75" x14ac:dyDescent="0.25">
      <c r="A30" s="49" t="s">
        <v>27</v>
      </c>
      <c r="B30">
        <v>0.75</v>
      </c>
      <c r="F30" s="30"/>
      <c r="G30" s="30"/>
      <c r="H30" s="30"/>
      <c r="I30" s="30"/>
      <c r="J30" s="30"/>
      <c r="K30" s="25">
        <f>F29*$B$30</f>
        <v>30000</v>
      </c>
      <c r="L30" s="25">
        <f t="shared" ref="L30:AL30" si="17">G29*$B$30</f>
        <v>30000</v>
      </c>
      <c r="M30" s="25">
        <f t="shared" si="17"/>
        <v>30000</v>
      </c>
      <c r="N30" s="25">
        <f t="shared" si="17"/>
        <v>45000</v>
      </c>
      <c r="O30" s="25">
        <f t="shared" si="17"/>
        <v>45000</v>
      </c>
      <c r="P30" s="25">
        <f t="shared" si="17"/>
        <v>60000</v>
      </c>
      <c r="Q30" s="25">
        <f t="shared" si="17"/>
        <v>60000</v>
      </c>
      <c r="R30" s="25">
        <f t="shared" si="17"/>
        <v>75000</v>
      </c>
      <c r="S30" s="25">
        <f t="shared" si="17"/>
        <v>75000</v>
      </c>
      <c r="T30" s="25">
        <f t="shared" si="17"/>
        <v>90000</v>
      </c>
      <c r="U30" s="25">
        <f t="shared" si="17"/>
        <v>90000</v>
      </c>
      <c r="V30" s="25">
        <f t="shared" si="17"/>
        <v>90000</v>
      </c>
      <c r="W30" s="25">
        <f t="shared" si="17"/>
        <v>90000</v>
      </c>
      <c r="X30" s="25">
        <f t="shared" si="17"/>
        <v>90000</v>
      </c>
      <c r="Y30" s="25">
        <f t="shared" si="17"/>
        <v>90000</v>
      </c>
      <c r="Z30" s="25">
        <f t="shared" si="17"/>
        <v>90000</v>
      </c>
      <c r="AA30" s="25">
        <f t="shared" si="17"/>
        <v>90000</v>
      </c>
      <c r="AB30" s="25">
        <f t="shared" si="17"/>
        <v>90000</v>
      </c>
      <c r="AC30" s="25">
        <f t="shared" si="17"/>
        <v>90000</v>
      </c>
      <c r="AD30" s="25">
        <f t="shared" si="17"/>
        <v>90000</v>
      </c>
      <c r="AE30" s="25">
        <f t="shared" si="17"/>
        <v>90000</v>
      </c>
      <c r="AF30" s="25">
        <f t="shared" si="17"/>
        <v>90000</v>
      </c>
      <c r="AG30" s="25">
        <f t="shared" si="17"/>
        <v>90000</v>
      </c>
      <c r="AH30" s="25">
        <f t="shared" si="17"/>
        <v>90000</v>
      </c>
      <c r="AI30" s="25">
        <f t="shared" si="17"/>
        <v>90000</v>
      </c>
      <c r="AJ30" s="25">
        <f t="shared" si="17"/>
        <v>90000</v>
      </c>
      <c r="AK30" s="25">
        <f t="shared" si="17"/>
        <v>90000</v>
      </c>
      <c r="AL30" s="25">
        <f t="shared" si="17"/>
        <v>90000</v>
      </c>
    </row>
    <row r="31" spans="1:38" ht="15.75" x14ac:dyDescent="0.25">
      <c r="A31" s="49" t="s">
        <v>28</v>
      </c>
      <c r="B31">
        <v>0.2</v>
      </c>
      <c r="F31" s="30"/>
      <c r="G31" s="30"/>
      <c r="H31" s="30"/>
      <c r="I31" s="30"/>
      <c r="J31" s="30"/>
      <c r="K31" s="30"/>
      <c r="L31" s="30"/>
      <c r="M31" s="25">
        <f>F29*$B$31</f>
        <v>8000</v>
      </c>
      <c r="N31" s="25">
        <f t="shared" ref="N31:AL31" si="18">G29*$B$31</f>
        <v>8000</v>
      </c>
      <c r="O31" s="25">
        <f t="shared" si="18"/>
        <v>8000</v>
      </c>
      <c r="P31" s="25">
        <f t="shared" si="18"/>
        <v>12000</v>
      </c>
      <c r="Q31" s="25">
        <f t="shared" si="18"/>
        <v>12000</v>
      </c>
      <c r="R31" s="25">
        <f t="shared" si="18"/>
        <v>16000</v>
      </c>
      <c r="S31" s="25">
        <f t="shared" si="18"/>
        <v>16000</v>
      </c>
      <c r="T31" s="25">
        <f t="shared" si="18"/>
        <v>20000</v>
      </c>
      <c r="U31" s="25">
        <f t="shared" si="18"/>
        <v>20000</v>
      </c>
      <c r="V31" s="25">
        <f t="shared" si="18"/>
        <v>24000</v>
      </c>
      <c r="W31" s="25">
        <f t="shared" si="18"/>
        <v>24000</v>
      </c>
      <c r="X31" s="25">
        <f t="shared" si="18"/>
        <v>24000</v>
      </c>
      <c r="Y31" s="25">
        <f t="shared" si="18"/>
        <v>24000</v>
      </c>
      <c r="Z31" s="25">
        <f t="shared" si="18"/>
        <v>24000</v>
      </c>
      <c r="AA31" s="25">
        <f t="shared" si="18"/>
        <v>24000</v>
      </c>
      <c r="AB31" s="25">
        <f t="shared" si="18"/>
        <v>24000</v>
      </c>
      <c r="AC31" s="25">
        <f t="shared" si="18"/>
        <v>24000</v>
      </c>
      <c r="AD31" s="25">
        <f t="shared" si="18"/>
        <v>24000</v>
      </c>
      <c r="AE31" s="25">
        <f t="shared" si="18"/>
        <v>24000</v>
      </c>
      <c r="AF31" s="25">
        <f t="shared" si="18"/>
        <v>24000</v>
      </c>
      <c r="AG31" s="25">
        <f t="shared" si="18"/>
        <v>24000</v>
      </c>
      <c r="AH31" s="25">
        <f t="shared" si="18"/>
        <v>24000</v>
      </c>
      <c r="AI31" s="25">
        <f t="shared" si="18"/>
        <v>24000</v>
      </c>
      <c r="AJ31" s="25">
        <f t="shared" si="18"/>
        <v>24000</v>
      </c>
      <c r="AK31" s="25">
        <f t="shared" si="18"/>
        <v>24000</v>
      </c>
      <c r="AL31" s="25">
        <f t="shared" si="18"/>
        <v>24000</v>
      </c>
    </row>
    <row r="32" spans="1:38" x14ac:dyDescent="0.25">
      <c r="A32" s="11"/>
    </row>
    <row r="33" spans="1:38" x14ac:dyDescent="0.25">
      <c r="A33" t="s">
        <v>90</v>
      </c>
      <c r="C33" s="50">
        <f>ROUNDUP(SUM(C34:C41),0)</f>
        <v>9</v>
      </c>
      <c r="D33" s="50">
        <f t="shared" ref="D33:AL33" si="19">ROUNDUP(SUM(D34:D41),0)</f>
        <v>10</v>
      </c>
      <c r="E33" s="50">
        <f t="shared" si="19"/>
        <v>10</v>
      </c>
      <c r="F33" s="50">
        <f t="shared" si="19"/>
        <v>11</v>
      </c>
      <c r="G33" s="50">
        <f t="shared" si="19"/>
        <v>11</v>
      </c>
      <c r="H33" s="50">
        <f t="shared" si="19"/>
        <v>11</v>
      </c>
      <c r="I33" s="50">
        <f t="shared" si="19"/>
        <v>11</v>
      </c>
      <c r="J33" s="50">
        <f t="shared" si="19"/>
        <v>12</v>
      </c>
      <c r="K33" s="50">
        <f t="shared" si="19"/>
        <v>12</v>
      </c>
      <c r="L33" s="50">
        <f t="shared" si="19"/>
        <v>12</v>
      </c>
      <c r="M33" s="50">
        <f t="shared" si="19"/>
        <v>12</v>
      </c>
      <c r="N33" s="50">
        <f t="shared" si="19"/>
        <v>12</v>
      </c>
      <c r="O33" s="50">
        <f t="shared" si="19"/>
        <v>12</v>
      </c>
      <c r="P33" s="50">
        <f t="shared" si="19"/>
        <v>12</v>
      </c>
      <c r="Q33" s="50">
        <f t="shared" si="19"/>
        <v>12</v>
      </c>
      <c r="R33" s="50">
        <f t="shared" si="19"/>
        <v>12</v>
      </c>
      <c r="S33" s="50">
        <f t="shared" si="19"/>
        <v>12</v>
      </c>
      <c r="T33" s="50">
        <f t="shared" si="19"/>
        <v>12</v>
      </c>
      <c r="U33" s="50">
        <f t="shared" si="19"/>
        <v>12</v>
      </c>
      <c r="V33" s="50">
        <f t="shared" si="19"/>
        <v>12</v>
      </c>
      <c r="W33" s="50">
        <f t="shared" si="19"/>
        <v>12</v>
      </c>
      <c r="X33" s="50">
        <f t="shared" si="19"/>
        <v>12</v>
      </c>
      <c r="Y33" s="50">
        <f t="shared" si="19"/>
        <v>12</v>
      </c>
      <c r="Z33" s="50">
        <f t="shared" si="19"/>
        <v>12</v>
      </c>
      <c r="AA33" s="50">
        <f t="shared" si="19"/>
        <v>12</v>
      </c>
      <c r="AB33" s="50">
        <f t="shared" si="19"/>
        <v>12</v>
      </c>
      <c r="AC33" s="50">
        <f t="shared" si="19"/>
        <v>12</v>
      </c>
      <c r="AD33" s="50">
        <f t="shared" si="19"/>
        <v>12</v>
      </c>
      <c r="AE33" s="50">
        <f t="shared" si="19"/>
        <v>12</v>
      </c>
      <c r="AF33" s="50">
        <f t="shared" si="19"/>
        <v>12</v>
      </c>
      <c r="AG33" s="50">
        <f t="shared" si="19"/>
        <v>12</v>
      </c>
      <c r="AH33" s="50">
        <f t="shared" si="19"/>
        <v>12</v>
      </c>
      <c r="AI33" s="50">
        <f t="shared" si="19"/>
        <v>12</v>
      </c>
      <c r="AJ33" s="50">
        <f t="shared" si="19"/>
        <v>12</v>
      </c>
      <c r="AK33" s="50">
        <f t="shared" si="19"/>
        <v>12</v>
      </c>
      <c r="AL33" s="50">
        <f t="shared" si="19"/>
        <v>12</v>
      </c>
    </row>
    <row r="34" spans="1:38" x14ac:dyDescent="0.25">
      <c r="A34" s="11" t="s">
        <v>91</v>
      </c>
      <c r="B34">
        <v>2</v>
      </c>
      <c r="C34">
        <v>2</v>
      </c>
      <c r="D34">
        <v>2</v>
      </c>
      <c r="E34">
        <v>2</v>
      </c>
      <c r="F34">
        <v>2</v>
      </c>
      <c r="G34">
        <v>2</v>
      </c>
      <c r="H34">
        <v>2</v>
      </c>
      <c r="I34">
        <v>2</v>
      </c>
      <c r="J34">
        <v>2</v>
      </c>
      <c r="K34">
        <v>2</v>
      </c>
      <c r="L34">
        <v>2</v>
      </c>
      <c r="M34">
        <v>2</v>
      </c>
      <c r="N34">
        <v>2</v>
      </c>
      <c r="O34">
        <v>2</v>
      </c>
      <c r="P34">
        <v>2</v>
      </c>
      <c r="Q34">
        <v>2</v>
      </c>
      <c r="R34">
        <v>2</v>
      </c>
      <c r="S34">
        <v>2</v>
      </c>
      <c r="T34">
        <v>2</v>
      </c>
      <c r="U34">
        <v>2</v>
      </c>
      <c r="V34">
        <v>2</v>
      </c>
      <c r="W34">
        <v>2</v>
      </c>
      <c r="X34">
        <v>2</v>
      </c>
      <c r="Y34">
        <v>2</v>
      </c>
      <c r="Z34">
        <v>2</v>
      </c>
      <c r="AA34">
        <v>2</v>
      </c>
      <c r="AB34">
        <v>2</v>
      </c>
      <c r="AC34">
        <v>2</v>
      </c>
      <c r="AD34">
        <v>2</v>
      </c>
      <c r="AE34">
        <v>2</v>
      </c>
      <c r="AF34">
        <v>2</v>
      </c>
      <c r="AG34">
        <v>2</v>
      </c>
      <c r="AH34">
        <v>2</v>
      </c>
      <c r="AI34">
        <v>2</v>
      </c>
      <c r="AJ34">
        <v>2</v>
      </c>
      <c r="AK34">
        <v>2</v>
      </c>
      <c r="AL34">
        <v>2</v>
      </c>
    </row>
    <row r="35" spans="1:38" x14ac:dyDescent="0.25">
      <c r="A35" s="11" t="s">
        <v>92</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row>
    <row r="36" spans="1:38" x14ac:dyDescent="0.25">
      <c r="A36" s="11" t="s">
        <v>93</v>
      </c>
      <c r="B36">
        <v>3</v>
      </c>
      <c r="C36">
        <v>3</v>
      </c>
      <c r="D36">
        <v>3</v>
      </c>
      <c r="E36">
        <v>3</v>
      </c>
      <c r="F36">
        <v>3</v>
      </c>
      <c r="G36">
        <v>3</v>
      </c>
      <c r="H36">
        <v>3</v>
      </c>
      <c r="I36">
        <v>3</v>
      </c>
      <c r="J36">
        <v>4</v>
      </c>
      <c r="K36">
        <v>4</v>
      </c>
      <c r="L36">
        <v>4</v>
      </c>
      <c r="M36">
        <v>4</v>
      </c>
      <c r="N36">
        <v>4</v>
      </c>
      <c r="O36">
        <v>4</v>
      </c>
      <c r="P36">
        <v>4</v>
      </c>
      <c r="Q36">
        <v>4</v>
      </c>
      <c r="R36">
        <v>4</v>
      </c>
      <c r="S36">
        <v>4</v>
      </c>
      <c r="T36">
        <v>4</v>
      </c>
      <c r="U36">
        <v>4</v>
      </c>
      <c r="V36">
        <v>4</v>
      </c>
      <c r="W36">
        <v>4</v>
      </c>
      <c r="X36">
        <v>4</v>
      </c>
      <c r="Y36">
        <v>4</v>
      </c>
      <c r="Z36">
        <v>4</v>
      </c>
      <c r="AA36">
        <v>4</v>
      </c>
      <c r="AB36">
        <v>4</v>
      </c>
      <c r="AC36">
        <v>4</v>
      </c>
      <c r="AD36">
        <v>4</v>
      </c>
      <c r="AE36">
        <v>4</v>
      </c>
      <c r="AF36">
        <v>4</v>
      </c>
      <c r="AG36">
        <v>4</v>
      </c>
      <c r="AH36">
        <v>4</v>
      </c>
      <c r="AI36">
        <v>4</v>
      </c>
      <c r="AJ36">
        <v>4</v>
      </c>
      <c r="AK36">
        <v>4</v>
      </c>
      <c r="AL36">
        <v>4</v>
      </c>
    </row>
    <row r="37" spans="1:38" x14ac:dyDescent="0.25">
      <c r="A37" s="11" t="s">
        <v>94</v>
      </c>
      <c r="B37">
        <v>1</v>
      </c>
      <c r="C37">
        <v>1</v>
      </c>
      <c r="D37">
        <v>1</v>
      </c>
      <c r="E37">
        <v>1</v>
      </c>
      <c r="F37">
        <v>0.5</v>
      </c>
      <c r="G37">
        <v>0.5</v>
      </c>
      <c r="H37">
        <v>0.5</v>
      </c>
      <c r="I37">
        <v>0.5</v>
      </c>
      <c r="J37">
        <v>0.5</v>
      </c>
      <c r="K37">
        <v>0.5</v>
      </c>
      <c r="L37">
        <v>0.5</v>
      </c>
      <c r="M37">
        <v>0.5</v>
      </c>
      <c r="N37">
        <v>0.5</v>
      </c>
      <c r="O37">
        <v>0.25</v>
      </c>
      <c r="P37">
        <v>0.25</v>
      </c>
      <c r="Q37">
        <v>0.25</v>
      </c>
      <c r="R37">
        <v>0.25</v>
      </c>
      <c r="S37">
        <v>0.25</v>
      </c>
      <c r="T37">
        <v>0.25</v>
      </c>
      <c r="U37">
        <v>0.25</v>
      </c>
      <c r="V37">
        <v>0.25</v>
      </c>
      <c r="W37">
        <v>0.25</v>
      </c>
      <c r="X37">
        <v>0.25</v>
      </c>
      <c r="Y37">
        <v>0.25</v>
      </c>
      <c r="Z37">
        <v>0.25</v>
      </c>
      <c r="AA37">
        <v>0.25</v>
      </c>
      <c r="AB37">
        <v>0.25</v>
      </c>
      <c r="AC37">
        <v>0.25</v>
      </c>
      <c r="AD37">
        <v>0.25</v>
      </c>
      <c r="AE37">
        <v>0.25</v>
      </c>
      <c r="AF37">
        <v>0.25</v>
      </c>
      <c r="AG37">
        <v>0.25</v>
      </c>
      <c r="AH37">
        <v>0.25</v>
      </c>
      <c r="AI37">
        <v>0.25</v>
      </c>
      <c r="AJ37">
        <v>0.25</v>
      </c>
      <c r="AK37">
        <v>0.25</v>
      </c>
      <c r="AL37">
        <v>0.25</v>
      </c>
    </row>
    <row r="38" spans="1:38" x14ac:dyDescent="0.25">
      <c r="A38" s="11" t="s">
        <v>95</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row>
    <row r="39" spans="1:38" x14ac:dyDescent="0.25">
      <c r="A39" s="11" t="s">
        <v>96</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row>
    <row r="40" spans="1:38" x14ac:dyDescent="0.25">
      <c r="A40" s="11" t="s">
        <v>97</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row>
    <row r="41" spans="1:38" x14ac:dyDescent="0.25">
      <c r="A41" s="11" t="s">
        <v>98</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row>
    <row r="42" spans="1:38" x14ac:dyDescent="0.25">
      <c r="A42" s="11"/>
    </row>
    <row r="43" spans="1:38" ht="15.75" x14ac:dyDescent="0.25">
      <c r="A43" t="s">
        <v>31</v>
      </c>
      <c r="C43">
        <f>27-1</f>
        <v>26</v>
      </c>
      <c r="D43">
        <v>25</v>
      </c>
      <c r="E43">
        <v>26</v>
      </c>
      <c r="F43">
        <v>26</v>
      </c>
      <c r="G43">
        <f>26-1</f>
        <v>25</v>
      </c>
      <c r="H43" s="26">
        <v>26</v>
      </c>
      <c r="I43" s="25">
        <f>27-1</f>
        <v>26</v>
      </c>
      <c r="J43" s="25">
        <v>26</v>
      </c>
      <c r="K43" s="25">
        <f>26-1</f>
        <v>25</v>
      </c>
      <c r="L43" s="25">
        <v>27</v>
      </c>
      <c r="M43" s="25">
        <v>25</v>
      </c>
      <c r="N43" s="25">
        <f>27-1</f>
        <v>26</v>
      </c>
      <c r="O43" s="25">
        <v>26</v>
      </c>
      <c r="P43" s="25">
        <v>26</v>
      </c>
      <c r="Q43" s="25">
        <v>26</v>
      </c>
      <c r="R43" s="25">
        <v>26</v>
      </c>
      <c r="S43" s="25">
        <v>26</v>
      </c>
      <c r="T43" s="25">
        <v>26</v>
      </c>
      <c r="U43" s="25">
        <v>26</v>
      </c>
      <c r="V43" s="25">
        <v>26</v>
      </c>
      <c r="W43" s="25">
        <v>26</v>
      </c>
      <c r="X43" s="25">
        <v>26</v>
      </c>
      <c r="Y43" s="25">
        <v>26</v>
      </c>
      <c r="Z43" s="25">
        <v>26</v>
      </c>
      <c r="AA43" s="25">
        <v>26</v>
      </c>
      <c r="AB43" s="25">
        <v>26</v>
      </c>
      <c r="AC43" s="25">
        <v>26</v>
      </c>
      <c r="AD43" s="25">
        <v>26</v>
      </c>
      <c r="AE43" s="25">
        <v>26</v>
      </c>
      <c r="AF43" s="25">
        <v>26</v>
      </c>
      <c r="AG43" s="25">
        <v>26</v>
      </c>
      <c r="AH43" s="25">
        <v>26</v>
      </c>
      <c r="AI43" s="25">
        <v>26</v>
      </c>
      <c r="AJ43" s="25">
        <v>26</v>
      </c>
      <c r="AK43" s="25">
        <v>26</v>
      </c>
      <c r="AL43" s="25">
        <v>26</v>
      </c>
    </row>
    <row r="44" spans="1:38" ht="15.75" x14ac:dyDescent="0.25">
      <c r="H44" s="26"/>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row>
    <row r="45" spans="1:38" x14ac:dyDescent="0.25">
      <c r="A45" t="s">
        <v>99</v>
      </c>
      <c r="C45">
        <f>ROUNDDOWN(SUM(C46:C51),0)</f>
        <v>632</v>
      </c>
      <c r="D45">
        <f t="shared" ref="D45:AL45" si="20">ROUNDDOWN(SUM(D46:D51),0)</f>
        <v>762</v>
      </c>
      <c r="E45">
        <f t="shared" si="20"/>
        <v>789</v>
      </c>
      <c r="F45">
        <f t="shared" si="20"/>
        <v>900</v>
      </c>
      <c r="G45">
        <f t="shared" si="20"/>
        <v>868</v>
      </c>
      <c r="H45">
        <f t="shared" si="20"/>
        <v>900</v>
      </c>
      <c r="I45">
        <f t="shared" si="20"/>
        <v>900</v>
      </c>
      <c r="J45">
        <f t="shared" si="20"/>
        <v>928</v>
      </c>
      <c r="K45">
        <f t="shared" si="20"/>
        <v>896</v>
      </c>
      <c r="L45">
        <f t="shared" si="20"/>
        <v>959</v>
      </c>
      <c r="M45">
        <f t="shared" si="20"/>
        <v>896</v>
      </c>
      <c r="N45">
        <f t="shared" si="20"/>
        <v>928</v>
      </c>
      <c r="O45">
        <f t="shared" si="20"/>
        <v>906</v>
      </c>
      <c r="P45">
        <f t="shared" si="20"/>
        <v>906</v>
      </c>
      <c r="Q45">
        <f t="shared" si="20"/>
        <v>906</v>
      </c>
      <c r="R45">
        <f t="shared" si="20"/>
        <v>906</v>
      </c>
      <c r="S45">
        <f t="shared" si="20"/>
        <v>906</v>
      </c>
      <c r="T45">
        <f t="shared" si="20"/>
        <v>906</v>
      </c>
      <c r="U45">
        <f t="shared" si="20"/>
        <v>906</v>
      </c>
      <c r="V45">
        <f t="shared" si="20"/>
        <v>906</v>
      </c>
      <c r="W45">
        <f t="shared" si="20"/>
        <v>906</v>
      </c>
      <c r="X45">
        <f t="shared" si="20"/>
        <v>906</v>
      </c>
      <c r="Y45">
        <f t="shared" si="20"/>
        <v>906</v>
      </c>
      <c r="Z45">
        <f t="shared" si="20"/>
        <v>906</v>
      </c>
      <c r="AA45">
        <f t="shared" si="20"/>
        <v>906</v>
      </c>
      <c r="AB45">
        <f t="shared" si="20"/>
        <v>906</v>
      </c>
      <c r="AC45">
        <f t="shared" si="20"/>
        <v>906</v>
      </c>
      <c r="AD45">
        <f t="shared" si="20"/>
        <v>906</v>
      </c>
      <c r="AE45">
        <f t="shared" si="20"/>
        <v>906</v>
      </c>
      <c r="AF45">
        <f t="shared" si="20"/>
        <v>906</v>
      </c>
      <c r="AG45">
        <f t="shared" si="20"/>
        <v>906</v>
      </c>
      <c r="AH45">
        <f t="shared" si="20"/>
        <v>906</v>
      </c>
      <c r="AI45">
        <f t="shared" si="20"/>
        <v>906</v>
      </c>
      <c r="AJ45">
        <f t="shared" si="20"/>
        <v>906</v>
      </c>
      <c r="AK45">
        <f t="shared" si="20"/>
        <v>906</v>
      </c>
      <c r="AL45">
        <f t="shared" si="20"/>
        <v>906</v>
      </c>
    </row>
    <row r="46" spans="1:38" x14ac:dyDescent="0.25">
      <c r="A46" s="11" t="s">
        <v>91</v>
      </c>
      <c r="B46">
        <v>5.92</v>
      </c>
      <c r="C46">
        <f t="shared" ref="C46:AL47" si="21">C34*C$43*$B$46</f>
        <v>307.83999999999997</v>
      </c>
      <c r="D46">
        <f t="shared" si="21"/>
        <v>296</v>
      </c>
      <c r="E46">
        <f t="shared" si="21"/>
        <v>307.83999999999997</v>
      </c>
      <c r="F46">
        <f t="shared" si="21"/>
        <v>307.83999999999997</v>
      </c>
      <c r="G46">
        <f t="shared" si="21"/>
        <v>296</v>
      </c>
      <c r="H46">
        <f t="shared" si="21"/>
        <v>307.83999999999997</v>
      </c>
      <c r="I46">
        <f t="shared" si="21"/>
        <v>307.83999999999997</v>
      </c>
      <c r="J46">
        <f t="shared" si="21"/>
        <v>307.83999999999997</v>
      </c>
      <c r="K46">
        <f t="shared" si="21"/>
        <v>296</v>
      </c>
      <c r="L46">
        <f t="shared" si="21"/>
        <v>319.68</v>
      </c>
      <c r="M46">
        <f t="shared" si="21"/>
        <v>296</v>
      </c>
      <c r="N46">
        <f t="shared" si="21"/>
        <v>307.83999999999997</v>
      </c>
      <c r="O46">
        <f t="shared" si="21"/>
        <v>307.83999999999997</v>
      </c>
      <c r="P46">
        <f t="shared" si="21"/>
        <v>307.83999999999997</v>
      </c>
      <c r="Q46">
        <f t="shared" si="21"/>
        <v>307.83999999999997</v>
      </c>
      <c r="R46">
        <f t="shared" si="21"/>
        <v>307.83999999999997</v>
      </c>
      <c r="S46">
        <f t="shared" si="21"/>
        <v>307.83999999999997</v>
      </c>
      <c r="T46">
        <f t="shared" si="21"/>
        <v>307.83999999999997</v>
      </c>
      <c r="U46">
        <f t="shared" si="21"/>
        <v>307.83999999999997</v>
      </c>
      <c r="V46">
        <f t="shared" si="21"/>
        <v>307.83999999999997</v>
      </c>
      <c r="W46">
        <f t="shared" si="21"/>
        <v>307.83999999999997</v>
      </c>
      <c r="X46">
        <f t="shared" si="21"/>
        <v>307.83999999999997</v>
      </c>
      <c r="Y46">
        <f t="shared" si="21"/>
        <v>307.83999999999997</v>
      </c>
      <c r="Z46">
        <f t="shared" si="21"/>
        <v>307.83999999999997</v>
      </c>
      <c r="AA46">
        <f t="shared" si="21"/>
        <v>307.83999999999997</v>
      </c>
      <c r="AB46">
        <f t="shared" si="21"/>
        <v>307.83999999999997</v>
      </c>
      <c r="AC46">
        <f t="shared" si="21"/>
        <v>307.83999999999997</v>
      </c>
      <c r="AD46">
        <f t="shared" si="21"/>
        <v>307.83999999999997</v>
      </c>
      <c r="AE46">
        <f t="shared" si="21"/>
        <v>307.83999999999997</v>
      </c>
      <c r="AF46">
        <f t="shared" si="21"/>
        <v>307.83999999999997</v>
      </c>
      <c r="AG46">
        <f t="shared" si="21"/>
        <v>307.83999999999997</v>
      </c>
      <c r="AH46">
        <f t="shared" si="21"/>
        <v>307.83999999999997</v>
      </c>
      <c r="AI46">
        <f t="shared" si="21"/>
        <v>307.83999999999997</v>
      </c>
      <c r="AJ46">
        <f t="shared" si="21"/>
        <v>307.83999999999997</v>
      </c>
      <c r="AK46">
        <f t="shared" si="21"/>
        <v>307.83999999999997</v>
      </c>
      <c r="AL46">
        <f t="shared" si="21"/>
        <v>307.83999999999997</v>
      </c>
    </row>
    <row r="47" spans="1:38" x14ac:dyDescent="0.25">
      <c r="A47" s="11" t="s">
        <v>92</v>
      </c>
      <c r="B47">
        <v>6.05</v>
      </c>
      <c r="C47">
        <f t="shared" si="21"/>
        <v>153.91999999999999</v>
      </c>
      <c r="D47">
        <f t="shared" si="21"/>
        <v>148</v>
      </c>
      <c r="E47">
        <f t="shared" si="21"/>
        <v>153.91999999999999</v>
      </c>
      <c r="F47">
        <f t="shared" si="21"/>
        <v>153.91999999999999</v>
      </c>
      <c r="G47">
        <f t="shared" si="21"/>
        <v>148</v>
      </c>
      <c r="H47">
        <f t="shared" si="21"/>
        <v>153.91999999999999</v>
      </c>
      <c r="I47">
        <f t="shared" si="21"/>
        <v>153.91999999999999</v>
      </c>
      <c r="J47">
        <f t="shared" si="21"/>
        <v>153.91999999999999</v>
      </c>
      <c r="K47">
        <f t="shared" si="21"/>
        <v>148</v>
      </c>
      <c r="L47">
        <f t="shared" si="21"/>
        <v>159.84</v>
      </c>
      <c r="M47">
        <f t="shared" si="21"/>
        <v>148</v>
      </c>
      <c r="N47">
        <f t="shared" si="21"/>
        <v>153.91999999999999</v>
      </c>
      <c r="O47">
        <f t="shared" si="21"/>
        <v>153.91999999999999</v>
      </c>
      <c r="P47">
        <f t="shared" si="21"/>
        <v>153.91999999999999</v>
      </c>
      <c r="Q47">
        <f t="shared" si="21"/>
        <v>153.91999999999999</v>
      </c>
      <c r="R47">
        <f t="shared" si="21"/>
        <v>153.91999999999999</v>
      </c>
      <c r="S47">
        <f t="shared" si="21"/>
        <v>153.91999999999999</v>
      </c>
      <c r="T47">
        <f t="shared" si="21"/>
        <v>153.91999999999999</v>
      </c>
      <c r="U47">
        <f t="shared" si="21"/>
        <v>153.91999999999999</v>
      </c>
      <c r="V47">
        <f t="shared" si="21"/>
        <v>153.91999999999999</v>
      </c>
      <c r="W47">
        <f t="shared" si="21"/>
        <v>153.91999999999999</v>
      </c>
      <c r="X47">
        <f t="shared" si="21"/>
        <v>153.91999999999999</v>
      </c>
      <c r="Y47">
        <f t="shared" si="21"/>
        <v>153.91999999999999</v>
      </c>
      <c r="Z47">
        <f t="shared" si="21"/>
        <v>153.91999999999999</v>
      </c>
      <c r="AA47">
        <f t="shared" si="21"/>
        <v>153.91999999999999</v>
      </c>
      <c r="AB47">
        <f t="shared" si="21"/>
        <v>153.91999999999999</v>
      </c>
      <c r="AC47">
        <f t="shared" si="21"/>
        <v>153.91999999999999</v>
      </c>
      <c r="AD47">
        <f t="shared" si="21"/>
        <v>153.91999999999999</v>
      </c>
      <c r="AE47">
        <f t="shared" si="21"/>
        <v>153.91999999999999</v>
      </c>
      <c r="AF47">
        <f t="shared" si="21"/>
        <v>153.91999999999999</v>
      </c>
      <c r="AG47">
        <f t="shared" si="21"/>
        <v>153.91999999999999</v>
      </c>
      <c r="AH47">
        <f t="shared" si="21"/>
        <v>153.91999999999999</v>
      </c>
      <c r="AI47">
        <f t="shared" si="21"/>
        <v>153.91999999999999</v>
      </c>
      <c r="AJ47">
        <f t="shared" si="21"/>
        <v>153.91999999999999</v>
      </c>
      <c r="AK47">
        <f t="shared" si="21"/>
        <v>153.91999999999999</v>
      </c>
      <c r="AL47">
        <f t="shared" si="21"/>
        <v>153.91999999999999</v>
      </c>
    </row>
    <row r="48" spans="1:38" x14ac:dyDescent="0.25">
      <c r="A48" s="11" t="s">
        <v>93</v>
      </c>
      <c r="B48">
        <v>28</v>
      </c>
      <c r="C48">
        <f>C36*$B$48</f>
        <v>84</v>
      </c>
      <c r="D48">
        <f t="shared" ref="D48:AL48" si="22">D36*$B$48</f>
        <v>84</v>
      </c>
      <c r="E48">
        <f t="shared" si="22"/>
        <v>84</v>
      </c>
      <c r="F48">
        <f t="shared" si="22"/>
        <v>84</v>
      </c>
      <c r="G48">
        <f t="shared" si="22"/>
        <v>84</v>
      </c>
      <c r="H48">
        <f t="shared" si="22"/>
        <v>84</v>
      </c>
      <c r="I48">
        <f t="shared" si="22"/>
        <v>84</v>
      </c>
      <c r="J48">
        <f t="shared" si="22"/>
        <v>112</v>
      </c>
      <c r="K48">
        <f t="shared" si="22"/>
        <v>112</v>
      </c>
      <c r="L48">
        <f t="shared" si="22"/>
        <v>112</v>
      </c>
      <c r="M48">
        <f t="shared" si="22"/>
        <v>112</v>
      </c>
      <c r="N48">
        <f t="shared" si="22"/>
        <v>112</v>
      </c>
      <c r="O48">
        <f t="shared" si="22"/>
        <v>112</v>
      </c>
      <c r="P48">
        <f t="shared" si="22"/>
        <v>112</v>
      </c>
      <c r="Q48">
        <f t="shared" si="22"/>
        <v>112</v>
      </c>
      <c r="R48">
        <f t="shared" si="22"/>
        <v>112</v>
      </c>
      <c r="S48">
        <f t="shared" si="22"/>
        <v>112</v>
      </c>
      <c r="T48">
        <f t="shared" si="22"/>
        <v>112</v>
      </c>
      <c r="U48">
        <f t="shared" si="22"/>
        <v>112</v>
      </c>
      <c r="V48">
        <f t="shared" si="22"/>
        <v>112</v>
      </c>
      <c r="W48">
        <f t="shared" si="22"/>
        <v>112</v>
      </c>
      <c r="X48">
        <f t="shared" si="22"/>
        <v>112</v>
      </c>
      <c r="Y48">
        <f t="shared" si="22"/>
        <v>112</v>
      </c>
      <c r="Z48">
        <f t="shared" si="22"/>
        <v>112</v>
      </c>
      <c r="AA48">
        <f t="shared" si="22"/>
        <v>112</v>
      </c>
      <c r="AB48">
        <f t="shared" si="22"/>
        <v>112</v>
      </c>
      <c r="AC48">
        <f t="shared" si="22"/>
        <v>112</v>
      </c>
      <c r="AD48">
        <f t="shared" si="22"/>
        <v>112</v>
      </c>
      <c r="AE48">
        <f t="shared" si="22"/>
        <v>112</v>
      </c>
      <c r="AF48">
        <f t="shared" si="22"/>
        <v>112</v>
      </c>
      <c r="AG48">
        <f t="shared" si="22"/>
        <v>112</v>
      </c>
      <c r="AH48">
        <f t="shared" si="22"/>
        <v>112</v>
      </c>
      <c r="AI48">
        <f t="shared" si="22"/>
        <v>112</v>
      </c>
      <c r="AJ48">
        <f t="shared" si="22"/>
        <v>112</v>
      </c>
      <c r="AK48">
        <f t="shared" si="22"/>
        <v>112</v>
      </c>
      <c r="AL48">
        <f t="shared" si="22"/>
        <v>112</v>
      </c>
    </row>
    <row r="49" spans="1:38" x14ac:dyDescent="0.25">
      <c r="A49" s="11" t="s">
        <v>94</v>
      </c>
      <c r="B49">
        <v>3.33</v>
      </c>
      <c r="C49">
        <f>C37*C$43*$B$49</f>
        <v>86.58</v>
      </c>
      <c r="D49">
        <f t="shared" ref="D49:AL49" si="23">D37*D$43*$B$49</f>
        <v>83.25</v>
      </c>
      <c r="E49">
        <f t="shared" si="23"/>
        <v>86.58</v>
      </c>
      <c r="F49">
        <f t="shared" si="23"/>
        <v>43.29</v>
      </c>
      <c r="G49">
        <f t="shared" si="23"/>
        <v>41.625</v>
      </c>
      <c r="H49">
        <f t="shared" si="23"/>
        <v>43.29</v>
      </c>
      <c r="I49">
        <f t="shared" si="23"/>
        <v>43.29</v>
      </c>
      <c r="J49">
        <f t="shared" si="23"/>
        <v>43.29</v>
      </c>
      <c r="K49">
        <f t="shared" si="23"/>
        <v>41.625</v>
      </c>
      <c r="L49">
        <f t="shared" si="23"/>
        <v>44.954999999999998</v>
      </c>
      <c r="M49">
        <f t="shared" si="23"/>
        <v>41.625</v>
      </c>
      <c r="N49">
        <f t="shared" si="23"/>
        <v>43.29</v>
      </c>
      <c r="O49">
        <f t="shared" si="23"/>
        <v>21.645</v>
      </c>
      <c r="P49">
        <f t="shared" si="23"/>
        <v>21.645</v>
      </c>
      <c r="Q49">
        <f t="shared" si="23"/>
        <v>21.645</v>
      </c>
      <c r="R49">
        <f t="shared" si="23"/>
        <v>21.645</v>
      </c>
      <c r="S49">
        <f t="shared" si="23"/>
        <v>21.645</v>
      </c>
      <c r="T49">
        <f t="shared" si="23"/>
        <v>21.645</v>
      </c>
      <c r="U49">
        <f t="shared" si="23"/>
        <v>21.645</v>
      </c>
      <c r="V49">
        <f t="shared" si="23"/>
        <v>21.645</v>
      </c>
      <c r="W49">
        <f t="shared" si="23"/>
        <v>21.645</v>
      </c>
      <c r="X49">
        <f t="shared" si="23"/>
        <v>21.645</v>
      </c>
      <c r="Y49">
        <f t="shared" si="23"/>
        <v>21.645</v>
      </c>
      <c r="Z49">
        <f t="shared" si="23"/>
        <v>21.645</v>
      </c>
      <c r="AA49">
        <f t="shared" si="23"/>
        <v>21.645</v>
      </c>
      <c r="AB49">
        <f t="shared" si="23"/>
        <v>21.645</v>
      </c>
      <c r="AC49">
        <f t="shared" si="23"/>
        <v>21.645</v>
      </c>
      <c r="AD49">
        <f t="shared" si="23"/>
        <v>21.645</v>
      </c>
      <c r="AE49">
        <f t="shared" si="23"/>
        <v>21.645</v>
      </c>
      <c r="AF49">
        <f t="shared" si="23"/>
        <v>21.645</v>
      </c>
      <c r="AG49">
        <f t="shared" si="23"/>
        <v>21.645</v>
      </c>
      <c r="AH49">
        <f t="shared" si="23"/>
        <v>21.645</v>
      </c>
      <c r="AI49">
        <f t="shared" si="23"/>
        <v>21.645</v>
      </c>
      <c r="AJ49">
        <f t="shared" si="23"/>
        <v>21.645</v>
      </c>
      <c r="AK49">
        <f t="shared" si="23"/>
        <v>21.645</v>
      </c>
      <c r="AL49">
        <f t="shared" si="23"/>
        <v>21.645</v>
      </c>
    </row>
    <row r="50" spans="1:38" x14ac:dyDescent="0.25">
      <c r="A50" s="11" t="s">
        <v>95</v>
      </c>
      <c r="B50">
        <v>5.92</v>
      </c>
      <c r="C50">
        <f>C38*C$43*$B$50</f>
        <v>0</v>
      </c>
      <c r="D50">
        <f t="shared" ref="D50:AL50" si="24">D38*D$43*$B$50</f>
        <v>0</v>
      </c>
      <c r="E50">
        <f t="shared" si="24"/>
        <v>0</v>
      </c>
      <c r="F50">
        <f t="shared" si="24"/>
        <v>153.91999999999999</v>
      </c>
      <c r="G50">
        <f t="shared" si="24"/>
        <v>148</v>
      </c>
      <c r="H50">
        <f t="shared" si="24"/>
        <v>153.91999999999999</v>
      </c>
      <c r="I50">
        <f t="shared" si="24"/>
        <v>153.91999999999999</v>
      </c>
      <c r="J50">
        <f t="shared" si="24"/>
        <v>153.91999999999999</v>
      </c>
      <c r="K50">
        <f t="shared" si="24"/>
        <v>148</v>
      </c>
      <c r="L50">
        <f t="shared" si="24"/>
        <v>159.84</v>
      </c>
      <c r="M50">
        <f t="shared" si="24"/>
        <v>148</v>
      </c>
      <c r="N50">
        <f t="shared" si="24"/>
        <v>153.91999999999999</v>
      </c>
      <c r="O50">
        <f t="shared" si="24"/>
        <v>153.91999999999999</v>
      </c>
      <c r="P50">
        <f t="shared" si="24"/>
        <v>153.91999999999999</v>
      </c>
      <c r="Q50">
        <f t="shared" si="24"/>
        <v>153.91999999999999</v>
      </c>
      <c r="R50">
        <f t="shared" si="24"/>
        <v>153.91999999999999</v>
      </c>
      <c r="S50">
        <f t="shared" si="24"/>
        <v>153.91999999999999</v>
      </c>
      <c r="T50">
        <f t="shared" si="24"/>
        <v>153.91999999999999</v>
      </c>
      <c r="U50">
        <f t="shared" si="24"/>
        <v>153.91999999999999</v>
      </c>
      <c r="V50">
        <f t="shared" si="24"/>
        <v>153.91999999999999</v>
      </c>
      <c r="W50">
        <f t="shared" si="24"/>
        <v>153.91999999999999</v>
      </c>
      <c r="X50">
        <f t="shared" si="24"/>
        <v>153.91999999999999</v>
      </c>
      <c r="Y50">
        <f t="shared" si="24"/>
        <v>153.91999999999999</v>
      </c>
      <c r="Z50">
        <f t="shared" si="24"/>
        <v>153.91999999999999</v>
      </c>
      <c r="AA50">
        <f t="shared" si="24"/>
        <v>153.91999999999999</v>
      </c>
      <c r="AB50">
        <f t="shared" si="24"/>
        <v>153.91999999999999</v>
      </c>
      <c r="AC50">
        <f t="shared" si="24"/>
        <v>153.91999999999999</v>
      </c>
      <c r="AD50">
        <f t="shared" si="24"/>
        <v>153.91999999999999</v>
      </c>
      <c r="AE50">
        <f t="shared" si="24"/>
        <v>153.91999999999999</v>
      </c>
      <c r="AF50">
        <f t="shared" si="24"/>
        <v>153.91999999999999</v>
      </c>
      <c r="AG50">
        <f t="shared" si="24"/>
        <v>153.91999999999999</v>
      </c>
      <c r="AH50">
        <f t="shared" si="24"/>
        <v>153.91999999999999</v>
      </c>
      <c r="AI50">
        <f t="shared" si="24"/>
        <v>153.91999999999999</v>
      </c>
      <c r="AJ50">
        <f t="shared" si="24"/>
        <v>153.91999999999999</v>
      </c>
      <c r="AK50">
        <f t="shared" si="24"/>
        <v>153.91999999999999</v>
      </c>
      <c r="AL50">
        <f t="shared" si="24"/>
        <v>153.91999999999999</v>
      </c>
    </row>
    <row r="51" spans="1:38" x14ac:dyDescent="0.25">
      <c r="A51" s="11" t="s">
        <v>96</v>
      </c>
      <c r="B51">
        <v>6.05</v>
      </c>
      <c r="C51">
        <f>C39*C$43*$B$51</f>
        <v>0</v>
      </c>
      <c r="D51">
        <f t="shared" ref="D51:AL51" si="25">D39*D$43*$B$51</f>
        <v>151.25</v>
      </c>
      <c r="E51">
        <f t="shared" si="25"/>
        <v>157.29999999999998</v>
      </c>
      <c r="F51">
        <f t="shared" si="25"/>
        <v>157.29999999999998</v>
      </c>
      <c r="G51">
        <f t="shared" si="25"/>
        <v>151.25</v>
      </c>
      <c r="H51">
        <f t="shared" si="25"/>
        <v>157.29999999999998</v>
      </c>
      <c r="I51">
        <f t="shared" si="25"/>
        <v>157.29999999999998</v>
      </c>
      <c r="J51">
        <f t="shared" si="25"/>
        <v>157.29999999999998</v>
      </c>
      <c r="K51">
        <f t="shared" si="25"/>
        <v>151.25</v>
      </c>
      <c r="L51">
        <f t="shared" si="25"/>
        <v>163.35</v>
      </c>
      <c r="M51">
        <f t="shared" si="25"/>
        <v>151.25</v>
      </c>
      <c r="N51">
        <f t="shared" si="25"/>
        <v>157.29999999999998</v>
      </c>
      <c r="O51">
        <f t="shared" si="25"/>
        <v>157.29999999999998</v>
      </c>
      <c r="P51">
        <f t="shared" si="25"/>
        <v>157.29999999999998</v>
      </c>
      <c r="Q51">
        <f t="shared" si="25"/>
        <v>157.29999999999998</v>
      </c>
      <c r="R51">
        <f t="shared" si="25"/>
        <v>157.29999999999998</v>
      </c>
      <c r="S51">
        <f t="shared" si="25"/>
        <v>157.29999999999998</v>
      </c>
      <c r="T51">
        <f t="shared" si="25"/>
        <v>157.29999999999998</v>
      </c>
      <c r="U51">
        <f t="shared" si="25"/>
        <v>157.29999999999998</v>
      </c>
      <c r="V51">
        <f t="shared" si="25"/>
        <v>157.29999999999998</v>
      </c>
      <c r="W51">
        <f t="shared" si="25"/>
        <v>157.29999999999998</v>
      </c>
      <c r="X51">
        <f t="shared" si="25"/>
        <v>157.29999999999998</v>
      </c>
      <c r="Y51">
        <f t="shared" si="25"/>
        <v>157.29999999999998</v>
      </c>
      <c r="Z51">
        <f t="shared" si="25"/>
        <v>157.29999999999998</v>
      </c>
      <c r="AA51">
        <f t="shared" si="25"/>
        <v>157.29999999999998</v>
      </c>
      <c r="AB51">
        <f t="shared" si="25"/>
        <v>157.29999999999998</v>
      </c>
      <c r="AC51">
        <f t="shared" si="25"/>
        <v>157.29999999999998</v>
      </c>
      <c r="AD51">
        <f t="shared" si="25"/>
        <v>157.29999999999998</v>
      </c>
      <c r="AE51">
        <f t="shared" si="25"/>
        <v>157.29999999999998</v>
      </c>
      <c r="AF51">
        <f t="shared" si="25"/>
        <v>157.29999999999998</v>
      </c>
      <c r="AG51">
        <f t="shared" si="25"/>
        <v>157.29999999999998</v>
      </c>
      <c r="AH51">
        <f t="shared" si="25"/>
        <v>157.29999999999998</v>
      </c>
      <c r="AI51">
        <f t="shared" si="25"/>
        <v>157.29999999999998</v>
      </c>
      <c r="AJ51">
        <f t="shared" si="25"/>
        <v>157.29999999999998</v>
      </c>
      <c r="AK51">
        <f t="shared" si="25"/>
        <v>157.29999999999998</v>
      </c>
      <c r="AL51">
        <f t="shared" si="25"/>
        <v>157.29999999999998</v>
      </c>
    </row>
    <row r="52" spans="1:38" x14ac:dyDescent="0.25">
      <c r="A52" s="11"/>
    </row>
    <row r="54" spans="1:38" s="18" customFormat="1" x14ac:dyDescent="0.25">
      <c r="A54" s="18" t="s">
        <v>17</v>
      </c>
      <c r="D54" s="18">
        <v>12500</v>
      </c>
      <c r="E54" s="18">
        <v>12500</v>
      </c>
      <c r="F54" s="18">
        <v>12500</v>
      </c>
      <c r="G54" s="18">
        <v>12500</v>
      </c>
      <c r="H54" s="18">
        <v>12500</v>
      </c>
      <c r="I54" s="18">
        <v>12500</v>
      </c>
      <c r="J54" s="18">
        <v>12500</v>
      </c>
      <c r="K54" s="18">
        <v>12500</v>
      </c>
      <c r="L54" s="18">
        <v>12500</v>
      </c>
      <c r="M54" s="18">
        <v>12500</v>
      </c>
      <c r="N54" s="18">
        <v>12500</v>
      </c>
      <c r="O54" s="18">
        <v>12500</v>
      </c>
      <c r="P54" s="18">
        <v>12500</v>
      </c>
      <c r="Q54" s="18">
        <v>12500</v>
      </c>
      <c r="R54" s="18">
        <v>12500</v>
      </c>
      <c r="S54" s="18">
        <v>12500</v>
      </c>
      <c r="T54" s="18">
        <v>12500</v>
      </c>
      <c r="U54" s="18">
        <v>12500</v>
      </c>
      <c r="V54" s="18">
        <v>12500</v>
      </c>
      <c r="W54" s="18">
        <v>12500</v>
      </c>
      <c r="X54" s="18">
        <v>12500</v>
      </c>
      <c r="Y54" s="18">
        <v>12500</v>
      </c>
      <c r="Z54" s="18">
        <v>12500</v>
      </c>
      <c r="AA54" s="18">
        <v>12500</v>
      </c>
      <c r="AB54" s="18">
        <v>12500</v>
      </c>
      <c r="AC54" s="18">
        <v>12500</v>
      </c>
      <c r="AD54" s="18">
        <v>12500</v>
      </c>
      <c r="AE54" s="18">
        <v>12500</v>
      </c>
      <c r="AF54" s="18">
        <v>12500</v>
      </c>
      <c r="AG54" s="18">
        <v>12500</v>
      </c>
      <c r="AH54" s="18">
        <v>12500</v>
      </c>
      <c r="AI54" s="18">
        <v>12500</v>
      </c>
      <c r="AJ54" s="18">
        <v>12500</v>
      </c>
      <c r="AK54" s="18">
        <v>12500</v>
      </c>
      <c r="AL54" s="18">
        <v>12500</v>
      </c>
    </row>
    <row r="55" spans="1:38" s="18" customFormat="1" x14ac:dyDescent="0.25">
      <c r="A55" s="19" t="s">
        <v>2</v>
      </c>
      <c r="B55" s="18">
        <v>125000</v>
      </c>
    </row>
    <row r="56" spans="1:38" s="18" customFormat="1" x14ac:dyDescent="0.25">
      <c r="A56" s="19" t="s">
        <v>1</v>
      </c>
      <c r="B56" s="20">
        <v>0.2</v>
      </c>
    </row>
    <row r="57" spans="1:38" s="18" customFormat="1" x14ac:dyDescent="0.25">
      <c r="A57" s="19" t="s">
        <v>3</v>
      </c>
      <c r="B57" s="18">
        <f>(B55+(B55*B56))/12</f>
        <v>12500</v>
      </c>
    </row>
    <row r="58" spans="1:38" s="18" customFormat="1" x14ac:dyDescent="0.25">
      <c r="A58" s="19" t="s">
        <v>15</v>
      </c>
      <c r="B58" s="18">
        <v>5000</v>
      </c>
      <c r="G58" s="18">
        <v>5000</v>
      </c>
      <c r="J58" s="18">
        <v>5000</v>
      </c>
      <c r="M58" s="18">
        <v>5000</v>
      </c>
      <c r="P58" s="18">
        <v>5000</v>
      </c>
      <c r="S58" s="18">
        <v>5000</v>
      </c>
      <c r="V58" s="18">
        <v>5000</v>
      </c>
      <c r="Y58" s="18">
        <v>5000</v>
      </c>
      <c r="AB58" s="18">
        <v>5000</v>
      </c>
      <c r="AE58" s="18">
        <v>5000</v>
      </c>
      <c r="AH58" s="18">
        <v>5000</v>
      </c>
      <c r="AK58" s="18">
        <v>5000</v>
      </c>
    </row>
    <row r="59" spans="1:38" s="18" customFormat="1" x14ac:dyDescent="0.25">
      <c r="A59" s="19" t="s">
        <v>32</v>
      </c>
      <c r="B59" s="18">
        <v>6.05</v>
      </c>
      <c r="D59" s="18">
        <f t="shared" ref="D59:AL59" si="26">D43*$B59</f>
        <v>151.25</v>
      </c>
      <c r="E59" s="18">
        <f t="shared" si="26"/>
        <v>157.29999999999998</v>
      </c>
      <c r="F59" s="18">
        <f t="shared" si="26"/>
        <v>157.29999999999998</v>
      </c>
      <c r="G59" s="18">
        <f t="shared" si="26"/>
        <v>151.25</v>
      </c>
      <c r="H59" s="18">
        <f t="shared" si="26"/>
        <v>157.29999999999998</v>
      </c>
      <c r="I59" s="18">
        <f t="shared" si="26"/>
        <v>157.29999999999998</v>
      </c>
      <c r="J59" s="18">
        <f t="shared" si="26"/>
        <v>157.29999999999998</v>
      </c>
      <c r="K59" s="18">
        <f t="shared" si="26"/>
        <v>151.25</v>
      </c>
      <c r="L59" s="18">
        <f t="shared" si="26"/>
        <v>163.35</v>
      </c>
      <c r="M59" s="18">
        <f t="shared" si="26"/>
        <v>151.25</v>
      </c>
      <c r="N59" s="18">
        <f t="shared" si="26"/>
        <v>157.29999999999998</v>
      </c>
      <c r="O59" s="18">
        <f t="shared" si="26"/>
        <v>157.29999999999998</v>
      </c>
      <c r="P59" s="18">
        <f t="shared" si="26"/>
        <v>157.29999999999998</v>
      </c>
      <c r="Q59" s="18">
        <f t="shared" si="26"/>
        <v>157.29999999999998</v>
      </c>
      <c r="R59" s="18">
        <f t="shared" si="26"/>
        <v>157.29999999999998</v>
      </c>
      <c r="S59" s="18">
        <f t="shared" si="26"/>
        <v>157.29999999999998</v>
      </c>
      <c r="T59" s="18">
        <f t="shared" si="26"/>
        <v>157.29999999999998</v>
      </c>
      <c r="U59" s="18">
        <f t="shared" si="26"/>
        <v>157.29999999999998</v>
      </c>
      <c r="V59" s="18">
        <f t="shared" si="26"/>
        <v>157.29999999999998</v>
      </c>
      <c r="W59" s="18">
        <f t="shared" si="26"/>
        <v>157.29999999999998</v>
      </c>
      <c r="X59" s="18">
        <f t="shared" si="26"/>
        <v>157.29999999999998</v>
      </c>
      <c r="Y59" s="18">
        <f t="shared" si="26"/>
        <v>157.29999999999998</v>
      </c>
      <c r="Z59" s="18">
        <f t="shared" si="26"/>
        <v>157.29999999999998</v>
      </c>
      <c r="AA59" s="18">
        <f t="shared" si="26"/>
        <v>157.29999999999998</v>
      </c>
      <c r="AB59" s="18">
        <f t="shared" si="26"/>
        <v>157.29999999999998</v>
      </c>
      <c r="AC59" s="18">
        <f t="shared" si="26"/>
        <v>157.29999999999998</v>
      </c>
      <c r="AD59" s="18">
        <f t="shared" si="26"/>
        <v>157.29999999999998</v>
      </c>
      <c r="AE59" s="18">
        <f t="shared" si="26"/>
        <v>157.29999999999998</v>
      </c>
      <c r="AF59" s="18">
        <f t="shared" si="26"/>
        <v>157.29999999999998</v>
      </c>
      <c r="AG59" s="18">
        <f t="shared" si="26"/>
        <v>157.29999999999998</v>
      </c>
      <c r="AH59" s="18">
        <f t="shared" si="26"/>
        <v>157.29999999999998</v>
      </c>
      <c r="AI59" s="18">
        <f t="shared" si="26"/>
        <v>157.29999999999998</v>
      </c>
      <c r="AJ59" s="18">
        <f t="shared" si="26"/>
        <v>157.29999999999998</v>
      </c>
      <c r="AK59" s="18">
        <f t="shared" si="26"/>
        <v>157.29999999999998</v>
      </c>
      <c r="AL59" s="18">
        <f t="shared" si="26"/>
        <v>157.29999999999998</v>
      </c>
    </row>
    <row r="61" spans="1:38" s="52" customFormat="1" x14ac:dyDescent="0.25">
      <c r="A61" s="51" t="s">
        <v>100</v>
      </c>
      <c r="F61" s="52">
        <v>24000</v>
      </c>
      <c r="G61" s="52">
        <v>24000</v>
      </c>
      <c r="H61" s="52">
        <v>24000</v>
      </c>
      <c r="I61" s="52">
        <v>24000</v>
      </c>
      <c r="J61" s="52">
        <v>24000</v>
      </c>
      <c r="K61" s="52">
        <v>24000</v>
      </c>
      <c r="L61" s="52">
        <v>24000</v>
      </c>
      <c r="M61" s="52">
        <v>24000</v>
      </c>
      <c r="N61" s="52">
        <v>24000</v>
      </c>
      <c r="O61" s="52">
        <v>24000</v>
      </c>
      <c r="P61" s="52">
        <v>24000</v>
      </c>
      <c r="Q61" s="52">
        <v>24000</v>
      </c>
      <c r="R61" s="52">
        <v>24000</v>
      </c>
      <c r="S61" s="52">
        <v>24000</v>
      </c>
      <c r="T61" s="52">
        <v>24000</v>
      </c>
      <c r="U61" s="52">
        <v>24000</v>
      </c>
      <c r="V61" s="52">
        <v>24000</v>
      </c>
      <c r="W61" s="52">
        <v>24000</v>
      </c>
      <c r="X61" s="52">
        <v>24000</v>
      </c>
      <c r="Y61" s="52">
        <v>24000</v>
      </c>
      <c r="Z61" s="52">
        <v>24000</v>
      </c>
      <c r="AA61" s="52">
        <v>24000</v>
      </c>
      <c r="AB61" s="52">
        <v>24000</v>
      </c>
      <c r="AC61" s="52">
        <v>24000</v>
      </c>
      <c r="AD61" s="52">
        <v>24000</v>
      </c>
      <c r="AE61" s="52">
        <v>24000</v>
      </c>
      <c r="AF61" s="52">
        <v>24000</v>
      </c>
      <c r="AG61" s="52">
        <v>24000</v>
      </c>
      <c r="AH61" s="52">
        <v>24000</v>
      </c>
      <c r="AI61" s="52">
        <v>24000</v>
      </c>
      <c r="AJ61" s="52">
        <v>24000</v>
      </c>
      <c r="AK61" s="52">
        <v>24000</v>
      </c>
      <c r="AL61" s="52">
        <v>24000</v>
      </c>
    </row>
    <row r="62" spans="1:38" s="52" customFormat="1" x14ac:dyDescent="0.25">
      <c r="A62" s="53" t="s">
        <v>2</v>
      </c>
      <c r="B62" s="52">
        <v>240000</v>
      </c>
    </row>
    <row r="63" spans="1:38" s="52" customFormat="1" x14ac:dyDescent="0.25">
      <c r="A63" s="53" t="s">
        <v>1</v>
      </c>
      <c r="B63" s="54">
        <v>0.2</v>
      </c>
    </row>
    <row r="64" spans="1:38" s="52" customFormat="1" x14ac:dyDescent="0.25">
      <c r="A64" s="53" t="s">
        <v>3</v>
      </c>
      <c r="B64" s="52">
        <f>(B62+(B62*B63))/12</f>
        <v>24000</v>
      </c>
    </row>
    <row r="65" spans="1:38" s="52" customFormat="1" x14ac:dyDescent="0.25">
      <c r="A65" s="55" t="s">
        <v>15</v>
      </c>
      <c r="B65" s="52">
        <v>10000</v>
      </c>
      <c r="I65" s="52">
        <v>10000</v>
      </c>
      <c r="L65" s="52">
        <v>10000</v>
      </c>
      <c r="O65" s="52">
        <v>10000</v>
      </c>
      <c r="R65" s="52">
        <v>10000</v>
      </c>
      <c r="U65" s="52">
        <v>10000</v>
      </c>
      <c r="X65" s="52">
        <v>10000</v>
      </c>
      <c r="AA65" s="52">
        <v>10000</v>
      </c>
      <c r="AD65" s="52">
        <v>10000</v>
      </c>
      <c r="AG65" s="52">
        <v>10000</v>
      </c>
      <c r="AJ65" s="52">
        <v>10000</v>
      </c>
    </row>
    <row r="66" spans="1:38" s="52" customFormat="1" x14ac:dyDescent="0.25">
      <c r="A66" s="55" t="s">
        <v>32</v>
      </c>
      <c r="B66" s="52">
        <v>5.92</v>
      </c>
      <c r="F66" s="52">
        <f t="shared" ref="F66:AL66" si="27">F43*$B66</f>
        <v>153.91999999999999</v>
      </c>
      <c r="G66" s="52">
        <f t="shared" si="27"/>
        <v>148</v>
      </c>
      <c r="H66" s="52">
        <f t="shared" si="27"/>
        <v>153.91999999999999</v>
      </c>
      <c r="I66" s="52">
        <f t="shared" si="27"/>
        <v>153.91999999999999</v>
      </c>
      <c r="J66" s="52">
        <f t="shared" si="27"/>
        <v>153.91999999999999</v>
      </c>
      <c r="K66" s="52">
        <f t="shared" si="27"/>
        <v>148</v>
      </c>
      <c r="L66" s="52">
        <f t="shared" si="27"/>
        <v>159.84</v>
      </c>
      <c r="M66" s="52">
        <f t="shared" si="27"/>
        <v>148</v>
      </c>
      <c r="N66" s="52">
        <f t="shared" si="27"/>
        <v>153.91999999999999</v>
      </c>
      <c r="O66" s="52">
        <f t="shared" si="27"/>
        <v>153.91999999999999</v>
      </c>
      <c r="P66" s="52">
        <f t="shared" si="27"/>
        <v>153.91999999999999</v>
      </c>
      <c r="Q66" s="52">
        <f t="shared" si="27"/>
        <v>153.91999999999999</v>
      </c>
      <c r="R66" s="52">
        <f t="shared" si="27"/>
        <v>153.91999999999999</v>
      </c>
      <c r="S66" s="52">
        <f t="shared" si="27"/>
        <v>153.91999999999999</v>
      </c>
      <c r="T66" s="52">
        <f t="shared" si="27"/>
        <v>153.91999999999999</v>
      </c>
      <c r="U66" s="52">
        <f t="shared" si="27"/>
        <v>153.91999999999999</v>
      </c>
      <c r="V66" s="52">
        <f t="shared" si="27"/>
        <v>153.91999999999999</v>
      </c>
      <c r="W66" s="52">
        <f t="shared" si="27"/>
        <v>153.91999999999999</v>
      </c>
      <c r="X66" s="52">
        <f t="shared" si="27"/>
        <v>153.91999999999999</v>
      </c>
      <c r="Y66" s="52">
        <f t="shared" si="27"/>
        <v>153.91999999999999</v>
      </c>
      <c r="Z66" s="52">
        <f t="shared" si="27"/>
        <v>153.91999999999999</v>
      </c>
      <c r="AA66" s="52">
        <f t="shared" si="27"/>
        <v>153.91999999999999</v>
      </c>
      <c r="AB66" s="52">
        <f t="shared" si="27"/>
        <v>153.91999999999999</v>
      </c>
      <c r="AC66" s="52">
        <f t="shared" si="27"/>
        <v>153.91999999999999</v>
      </c>
      <c r="AD66" s="52">
        <f t="shared" si="27"/>
        <v>153.91999999999999</v>
      </c>
      <c r="AE66" s="52">
        <f t="shared" si="27"/>
        <v>153.91999999999999</v>
      </c>
      <c r="AF66" s="52">
        <f t="shared" si="27"/>
        <v>153.91999999999999</v>
      </c>
      <c r="AG66" s="52">
        <f t="shared" si="27"/>
        <v>153.91999999999999</v>
      </c>
      <c r="AH66" s="52">
        <f t="shared" si="27"/>
        <v>153.91999999999999</v>
      </c>
      <c r="AI66" s="52">
        <f t="shared" si="27"/>
        <v>153.91999999999999</v>
      </c>
      <c r="AJ66" s="52">
        <f t="shared" si="27"/>
        <v>153.91999999999999</v>
      </c>
      <c r="AK66" s="52">
        <f t="shared" si="27"/>
        <v>153.91999999999999</v>
      </c>
      <c r="AL66" s="52">
        <f t="shared" si="27"/>
        <v>153.91999999999999</v>
      </c>
    </row>
    <row r="68" spans="1:38" x14ac:dyDescent="0.25">
      <c r="A68" s="11" t="s">
        <v>101</v>
      </c>
      <c r="C68">
        <v>2000</v>
      </c>
      <c r="D68">
        <v>4000</v>
      </c>
      <c r="E68">
        <v>4000</v>
      </c>
      <c r="F68">
        <v>8000</v>
      </c>
      <c r="G68">
        <v>8000</v>
      </c>
      <c r="H68">
        <v>10000</v>
      </c>
      <c r="I68">
        <v>10000</v>
      </c>
      <c r="J68">
        <v>10000</v>
      </c>
      <c r="K68">
        <v>10000</v>
      </c>
      <c r="L68">
        <v>10000</v>
      </c>
      <c r="M68">
        <v>10000</v>
      </c>
      <c r="N68">
        <v>10000</v>
      </c>
      <c r="O68">
        <v>10000</v>
      </c>
      <c r="P68">
        <v>10000</v>
      </c>
      <c r="Q68">
        <v>10000</v>
      </c>
      <c r="R68">
        <v>10000</v>
      </c>
      <c r="S68">
        <v>10000</v>
      </c>
      <c r="T68">
        <v>10000</v>
      </c>
      <c r="U68">
        <v>10000</v>
      </c>
      <c r="V68">
        <v>10000</v>
      </c>
      <c r="W68">
        <v>10000</v>
      </c>
      <c r="X68">
        <v>10000</v>
      </c>
      <c r="Y68">
        <v>10000</v>
      </c>
      <c r="Z68">
        <v>10000</v>
      </c>
      <c r="AA68">
        <v>11000</v>
      </c>
      <c r="AB68">
        <v>12000</v>
      </c>
      <c r="AC68">
        <v>13000</v>
      </c>
      <c r="AD68">
        <v>14000</v>
      </c>
      <c r="AE68">
        <v>15000</v>
      </c>
      <c r="AF68">
        <v>16000</v>
      </c>
      <c r="AG68">
        <v>17000</v>
      </c>
      <c r="AH68">
        <v>18000</v>
      </c>
      <c r="AI68">
        <v>19000</v>
      </c>
      <c r="AJ68">
        <v>20000</v>
      </c>
      <c r="AK68">
        <v>21000</v>
      </c>
      <c r="AL68">
        <v>22000</v>
      </c>
    </row>
    <row r="70" spans="1:38" x14ac:dyDescent="0.25">
      <c r="A70" t="s">
        <v>102</v>
      </c>
      <c r="E70">
        <v>19600</v>
      </c>
      <c r="F70">
        <v>19600</v>
      </c>
      <c r="G70">
        <v>19600</v>
      </c>
      <c r="H70">
        <v>19600</v>
      </c>
      <c r="I70">
        <v>19600</v>
      </c>
      <c r="J70">
        <v>19600</v>
      </c>
      <c r="K70">
        <v>19600</v>
      </c>
      <c r="L70">
        <v>19600</v>
      </c>
      <c r="M70">
        <v>19600</v>
      </c>
      <c r="N70">
        <v>19600</v>
      </c>
      <c r="O70">
        <v>19600</v>
      </c>
      <c r="P70">
        <v>19600</v>
      </c>
      <c r="Q70">
        <v>19600</v>
      </c>
      <c r="R70">
        <v>19600</v>
      </c>
      <c r="S70">
        <v>19600</v>
      </c>
      <c r="T70">
        <v>19600</v>
      </c>
      <c r="U70">
        <v>19600</v>
      </c>
      <c r="V70">
        <v>19600</v>
      </c>
      <c r="W70">
        <v>19600</v>
      </c>
      <c r="X70">
        <v>19600</v>
      </c>
      <c r="Y70">
        <v>19600</v>
      </c>
      <c r="Z70">
        <v>19600</v>
      </c>
      <c r="AA70">
        <v>19600</v>
      </c>
      <c r="AB70">
        <v>19600</v>
      </c>
      <c r="AC70">
        <v>19600</v>
      </c>
      <c r="AD70">
        <v>19600</v>
      </c>
      <c r="AE70">
        <v>19600</v>
      </c>
      <c r="AF70">
        <v>19600</v>
      </c>
      <c r="AG70">
        <v>19600</v>
      </c>
      <c r="AH70">
        <v>19600</v>
      </c>
      <c r="AI70">
        <v>19600</v>
      </c>
      <c r="AJ70">
        <v>19600</v>
      </c>
      <c r="AK70">
        <v>19600</v>
      </c>
      <c r="AL70">
        <v>19600</v>
      </c>
    </row>
    <row r="71" spans="1:38" x14ac:dyDescent="0.25">
      <c r="A71" s="11" t="s">
        <v>2</v>
      </c>
      <c r="B71">
        <v>196000</v>
      </c>
    </row>
    <row r="72" spans="1:38" x14ac:dyDescent="0.25">
      <c r="A72" s="11" t="s">
        <v>1</v>
      </c>
      <c r="B72" s="13">
        <v>0.2</v>
      </c>
    </row>
    <row r="73" spans="1:38" x14ac:dyDescent="0.25">
      <c r="A73" s="11" t="s">
        <v>3</v>
      </c>
      <c r="B73">
        <f>(B71+(B71*B72))/12</f>
        <v>19600</v>
      </c>
    </row>
    <row r="75" spans="1:38" x14ac:dyDescent="0.25">
      <c r="A75" t="s">
        <v>103</v>
      </c>
      <c r="D75">
        <v>19600</v>
      </c>
      <c r="E75">
        <v>19600</v>
      </c>
      <c r="F75">
        <v>19600</v>
      </c>
      <c r="G75">
        <v>19600</v>
      </c>
      <c r="H75">
        <v>19600</v>
      </c>
      <c r="I75">
        <v>19600</v>
      </c>
      <c r="J75">
        <v>19600</v>
      </c>
      <c r="K75">
        <v>19600</v>
      </c>
      <c r="L75">
        <v>19600</v>
      </c>
      <c r="M75">
        <v>19600</v>
      </c>
      <c r="N75">
        <v>19600</v>
      </c>
      <c r="O75">
        <v>19600</v>
      </c>
      <c r="P75">
        <v>19600</v>
      </c>
      <c r="Q75">
        <v>19600</v>
      </c>
      <c r="R75">
        <v>19600</v>
      </c>
      <c r="S75">
        <v>19600</v>
      </c>
      <c r="T75">
        <v>19600</v>
      </c>
      <c r="U75">
        <v>19600</v>
      </c>
      <c r="V75">
        <v>19600</v>
      </c>
      <c r="W75">
        <v>19600</v>
      </c>
      <c r="X75">
        <v>19600</v>
      </c>
      <c r="Y75">
        <v>19600</v>
      </c>
      <c r="Z75">
        <v>19600</v>
      </c>
      <c r="AA75">
        <v>19600</v>
      </c>
      <c r="AB75">
        <v>19600</v>
      </c>
      <c r="AC75">
        <v>19600</v>
      </c>
      <c r="AD75">
        <v>19600</v>
      </c>
      <c r="AE75">
        <v>19600</v>
      </c>
      <c r="AF75">
        <v>19600</v>
      </c>
      <c r="AG75">
        <v>19600</v>
      </c>
      <c r="AH75">
        <v>19600</v>
      </c>
      <c r="AI75">
        <v>19600</v>
      </c>
      <c r="AJ75">
        <v>19600</v>
      </c>
      <c r="AK75">
        <v>19600</v>
      </c>
      <c r="AL75">
        <v>19600</v>
      </c>
    </row>
    <row r="76" spans="1:38" x14ac:dyDescent="0.25">
      <c r="A76" s="11" t="s">
        <v>2</v>
      </c>
      <c r="B76">
        <v>196000</v>
      </c>
    </row>
    <row r="77" spans="1:38" x14ac:dyDescent="0.25">
      <c r="A77" s="11" t="s">
        <v>1</v>
      </c>
      <c r="B77" s="13">
        <v>0.2</v>
      </c>
    </row>
    <row r="78" spans="1:38" x14ac:dyDescent="0.25">
      <c r="A78" s="11" t="s">
        <v>3</v>
      </c>
      <c r="B78">
        <f>(B76+(B76*B77))/12</f>
        <v>19600</v>
      </c>
    </row>
    <row r="80" spans="1:38" x14ac:dyDescent="0.25">
      <c r="A80" s="56" t="s">
        <v>104</v>
      </c>
      <c r="G80">
        <v>12000</v>
      </c>
      <c r="H80">
        <v>12000</v>
      </c>
      <c r="I80">
        <v>12000</v>
      </c>
      <c r="J80">
        <v>12000</v>
      </c>
      <c r="K80">
        <v>12000</v>
      </c>
      <c r="L80">
        <v>12000</v>
      </c>
      <c r="M80">
        <v>12000</v>
      </c>
      <c r="N80">
        <v>12000</v>
      </c>
      <c r="O80">
        <v>12000</v>
      </c>
      <c r="P80">
        <v>12000</v>
      </c>
      <c r="Q80">
        <v>12000</v>
      </c>
      <c r="R80">
        <v>12000</v>
      </c>
      <c r="S80">
        <v>12000</v>
      </c>
      <c r="T80">
        <v>12000</v>
      </c>
      <c r="U80">
        <v>12000</v>
      </c>
      <c r="V80">
        <v>12000</v>
      </c>
      <c r="W80">
        <v>12000</v>
      </c>
      <c r="X80">
        <v>12000</v>
      </c>
      <c r="Y80">
        <v>12000</v>
      </c>
      <c r="Z80">
        <v>12000</v>
      </c>
      <c r="AA80">
        <v>12000</v>
      </c>
      <c r="AB80">
        <v>12000</v>
      </c>
      <c r="AC80">
        <v>12000</v>
      </c>
      <c r="AD80">
        <v>12000</v>
      </c>
      <c r="AE80">
        <v>12000</v>
      </c>
      <c r="AF80">
        <v>12000</v>
      </c>
      <c r="AG80">
        <v>12000</v>
      </c>
      <c r="AH80">
        <v>12000</v>
      </c>
      <c r="AI80">
        <v>12000</v>
      </c>
      <c r="AJ80">
        <v>12000</v>
      </c>
      <c r="AK80">
        <v>12000</v>
      </c>
      <c r="AL80">
        <v>12000</v>
      </c>
    </row>
    <row r="81" spans="1:38" x14ac:dyDescent="0.25">
      <c r="A81" s="12" t="s">
        <v>2</v>
      </c>
      <c r="B81">
        <v>120000</v>
      </c>
    </row>
    <row r="82" spans="1:38" x14ac:dyDescent="0.25">
      <c r="A82" s="12" t="s">
        <v>1</v>
      </c>
      <c r="B82" s="13">
        <v>0.2</v>
      </c>
    </row>
    <row r="83" spans="1:38" x14ac:dyDescent="0.25">
      <c r="A83" s="12" t="s">
        <v>3</v>
      </c>
      <c r="B83">
        <f>(B81+(B81*B82))/12</f>
        <v>12000</v>
      </c>
    </row>
    <row r="85" spans="1:38" x14ac:dyDescent="0.25">
      <c r="A85" s="56" t="s">
        <v>105</v>
      </c>
      <c r="D85">
        <v>15000</v>
      </c>
      <c r="E85">
        <v>15000</v>
      </c>
      <c r="F85">
        <v>15000</v>
      </c>
      <c r="G85">
        <v>15000</v>
      </c>
      <c r="H85">
        <v>15000</v>
      </c>
      <c r="I85">
        <v>15000</v>
      </c>
      <c r="J85">
        <v>15000</v>
      </c>
      <c r="K85">
        <v>15000</v>
      </c>
      <c r="L85">
        <v>15000</v>
      </c>
      <c r="M85">
        <v>15000</v>
      </c>
      <c r="N85">
        <v>15000</v>
      </c>
      <c r="O85">
        <v>15000</v>
      </c>
      <c r="P85">
        <v>15000</v>
      </c>
      <c r="Q85">
        <v>15000</v>
      </c>
      <c r="R85">
        <v>15000</v>
      </c>
      <c r="S85">
        <v>15000</v>
      </c>
      <c r="T85">
        <v>15000</v>
      </c>
      <c r="U85">
        <v>15000</v>
      </c>
      <c r="V85">
        <v>15000</v>
      </c>
      <c r="W85">
        <v>15000</v>
      </c>
      <c r="X85">
        <v>15000</v>
      </c>
      <c r="Y85">
        <v>15000</v>
      </c>
      <c r="Z85">
        <v>15000</v>
      </c>
      <c r="AA85">
        <v>15000</v>
      </c>
      <c r="AB85">
        <v>15000</v>
      </c>
      <c r="AC85">
        <v>15000</v>
      </c>
      <c r="AD85">
        <v>15000</v>
      </c>
      <c r="AE85">
        <v>15000</v>
      </c>
      <c r="AF85">
        <v>15000</v>
      </c>
      <c r="AG85">
        <v>15000</v>
      </c>
      <c r="AH85">
        <v>15000</v>
      </c>
      <c r="AI85">
        <v>15000</v>
      </c>
      <c r="AJ85">
        <v>15000</v>
      </c>
      <c r="AK85">
        <v>15000</v>
      </c>
      <c r="AL85">
        <v>15000</v>
      </c>
    </row>
    <row r="86" spans="1:38" x14ac:dyDescent="0.25">
      <c r="A86" s="12" t="s">
        <v>2</v>
      </c>
      <c r="B86">
        <v>150000</v>
      </c>
    </row>
    <row r="87" spans="1:38" x14ac:dyDescent="0.25">
      <c r="A87" s="12" t="s">
        <v>1</v>
      </c>
      <c r="B87" s="13">
        <v>0.2</v>
      </c>
    </row>
    <row r="88" spans="1:38" x14ac:dyDescent="0.25">
      <c r="A88" s="12" t="s">
        <v>3</v>
      </c>
      <c r="B88">
        <f>(B86+(B86*B87))/12</f>
        <v>15000</v>
      </c>
    </row>
    <row r="90" spans="1:38" x14ac:dyDescent="0.25">
      <c r="A90" s="56" t="s">
        <v>106</v>
      </c>
      <c r="F90">
        <v>12000</v>
      </c>
      <c r="G90">
        <v>12000</v>
      </c>
      <c r="H90">
        <v>12000</v>
      </c>
      <c r="I90">
        <v>12000</v>
      </c>
      <c r="J90">
        <v>12000</v>
      </c>
      <c r="K90">
        <v>12000</v>
      </c>
      <c r="L90">
        <v>12000</v>
      </c>
      <c r="M90">
        <v>12000</v>
      </c>
      <c r="N90">
        <v>12000</v>
      </c>
      <c r="O90">
        <v>12000</v>
      </c>
      <c r="P90">
        <v>12000</v>
      </c>
      <c r="Q90">
        <v>12000</v>
      </c>
      <c r="R90">
        <v>12000</v>
      </c>
      <c r="S90">
        <v>12000</v>
      </c>
      <c r="T90">
        <v>12000</v>
      </c>
      <c r="U90">
        <v>12000</v>
      </c>
      <c r="V90">
        <v>12000</v>
      </c>
      <c r="W90">
        <v>12000</v>
      </c>
      <c r="X90">
        <v>12000</v>
      </c>
      <c r="Y90">
        <v>12000</v>
      </c>
      <c r="Z90">
        <v>12000</v>
      </c>
      <c r="AA90">
        <v>12000</v>
      </c>
      <c r="AB90">
        <v>12000</v>
      </c>
      <c r="AC90">
        <v>12000</v>
      </c>
      <c r="AD90">
        <v>12000</v>
      </c>
      <c r="AE90">
        <v>12000</v>
      </c>
      <c r="AF90">
        <v>12000</v>
      </c>
      <c r="AG90">
        <v>12000</v>
      </c>
      <c r="AH90">
        <v>12000</v>
      </c>
      <c r="AI90">
        <v>12000</v>
      </c>
      <c r="AJ90">
        <v>12000</v>
      </c>
      <c r="AK90">
        <v>12000</v>
      </c>
      <c r="AL90">
        <v>12000</v>
      </c>
    </row>
    <row r="91" spans="1:38" x14ac:dyDescent="0.25">
      <c r="A91" s="12" t="s">
        <v>2</v>
      </c>
      <c r="B91">
        <v>120000</v>
      </c>
    </row>
    <row r="92" spans="1:38" x14ac:dyDescent="0.25">
      <c r="A92" s="12" t="s">
        <v>1</v>
      </c>
      <c r="B92" s="13">
        <v>0.2</v>
      </c>
    </row>
    <row r="93" spans="1:38" x14ac:dyDescent="0.25">
      <c r="A93" s="12" t="s">
        <v>3</v>
      </c>
      <c r="B93">
        <f>(B91+(B91*B92))/12</f>
        <v>12000</v>
      </c>
    </row>
    <row r="97" spans="1:1" x14ac:dyDescent="0.25">
      <c r="A97" t="s">
        <v>107</v>
      </c>
    </row>
    <row r="98" spans="1:1" x14ac:dyDescent="0.25">
      <c r="A98" t="s">
        <v>69</v>
      </c>
    </row>
    <row r="99" spans="1:1" x14ac:dyDescent="0.25">
      <c r="A99" t="s">
        <v>108</v>
      </c>
    </row>
    <row r="101" spans="1:1" x14ac:dyDescent="0.25">
      <c r="A101" t="s">
        <v>109</v>
      </c>
    </row>
    <row r="102" spans="1:1" x14ac:dyDescent="0.25">
      <c r="A102" t="s">
        <v>68</v>
      </c>
    </row>
    <row r="104" spans="1:1" x14ac:dyDescent="0.25">
      <c r="A104" t="s">
        <v>110</v>
      </c>
    </row>
    <row r="106" spans="1:1" x14ac:dyDescent="0.25">
      <c r="A106" t="s">
        <v>111</v>
      </c>
    </row>
    <row r="107" spans="1:1" x14ac:dyDescent="0.25">
      <c r="A107" t="s">
        <v>112</v>
      </c>
    </row>
    <row r="109" spans="1:1" x14ac:dyDescent="0.25">
      <c r="A109" t="s">
        <v>113</v>
      </c>
    </row>
    <row r="110" spans="1:1" x14ac:dyDescent="0.25">
      <c r="A110" s="40" t="s">
        <v>69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4858-80E8-DB48-9C98-DEEFFB5EAC31}">
  <sheetPr>
    <tabColor theme="5"/>
  </sheetPr>
  <dimension ref="A1:AL120"/>
  <sheetViews>
    <sheetView showGridLines="0" zoomScale="120" zoomScaleNormal="120" workbookViewId="0">
      <pane xSplit="1" ySplit="3" topLeftCell="B4" activePane="bottomRight" state="frozen"/>
      <selection activeCell="A8" sqref="A8:XFD8"/>
      <selection pane="topRight" activeCell="A8" sqref="A8:XFD8"/>
      <selection pane="bottomLeft" activeCell="A8" sqref="A8:XFD8"/>
      <selection pane="bottomRight" activeCell="B4" sqref="B4"/>
    </sheetView>
  </sheetViews>
  <sheetFormatPr defaultColWidth="8.85546875" defaultRowHeight="15" x14ac:dyDescent="0.25"/>
  <cols>
    <col min="1" max="1" width="37" customWidth="1"/>
    <col min="2" max="2" width="15" customWidth="1"/>
    <col min="3" max="16" width="13.42578125" customWidth="1"/>
    <col min="17" max="25" width="13.85546875" customWidth="1"/>
    <col min="26" max="26" width="13.85546875" bestFit="1" customWidth="1"/>
    <col min="27" max="38" width="12.42578125" customWidth="1"/>
  </cols>
  <sheetData>
    <row r="1" spans="1:38" ht="20.25" thickBot="1" x14ac:dyDescent="0.35">
      <c r="A1" s="1" t="s">
        <v>114</v>
      </c>
    </row>
    <row r="2" spans="1:38" ht="15.75" thickTop="1" x14ac:dyDescent="0.25"/>
    <row r="3" spans="1:38" ht="15.75" thickBot="1" x14ac:dyDescent="0.3">
      <c r="A3" s="2" t="s">
        <v>0</v>
      </c>
      <c r="B3" s="3">
        <v>43982</v>
      </c>
      <c r="C3" s="3">
        <f>EOMONTH(B3,1)</f>
        <v>44012</v>
      </c>
      <c r="D3" s="3">
        <f t="shared" ref="D3:X3" si="0">EOMONTH(C3,1)</f>
        <v>44043</v>
      </c>
      <c r="E3" s="3">
        <f t="shared" si="0"/>
        <v>44074</v>
      </c>
      <c r="F3" s="3">
        <f t="shared" si="0"/>
        <v>44104</v>
      </c>
      <c r="G3" s="3">
        <f t="shared" si="0"/>
        <v>44135</v>
      </c>
      <c r="H3" s="3">
        <f t="shared" si="0"/>
        <v>44165</v>
      </c>
      <c r="I3" s="3">
        <f t="shared" si="0"/>
        <v>44196</v>
      </c>
      <c r="J3" s="3">
        <f t="shared" si="0"/>
        <v>44227</v>
      </c>
      <c r="K3" s="3">
        <f t="shared" si="0"/>
        <v>44255</v>
      </c>
      <c r="L3" s="3">
        <f t="shared" si="0"/>
        <v>44286</v>
      </c>
      <c r="M3" s="3">
        <f t="shared" si="0"/>
        <v>44316</v>
      </c>
      <c r="N3" s="3">
        <f t="shared" si="0"/>
        <v>44347</v>
      </c>
      <c r="O3" s="3">
        <f t="shared" si="0"/>
        <v>44377</v>
      </c>
      <c r="P3" s="3">
        <f t="shared" si="0"/>
        <v>44408</v>
      </c>
      <c r="Q3" s="3">
        <f t="shared" si="0"/>
        <v>44439</v>
      </c>
      <c r="R3" s="3">
        <f>EOMONTH(Q3,1)</f>
        <v>44469</v>
      </c>
      <c r="S3" s="3">
        <f t="shared" si="0"/>
        <v>44500</v>
      </c>
      <c r="T3" s="3">
        <f t="shared" si="0"/>
        <v>44530</v>
      </c>
      <c r="U3" s="3">
        <f t="shared" si="0"/>
        <v>44561</v>
      </c>
      <c r="V3" s="3">
        <f t="shared" si="0"/>
        <v>44592</v>
      </c>
      <c r="W3" s="3">
        <f t="shared" si="0"/>
        <v>44620</v>
      </c>
      <c r="X3" s="3">
        <f t="shared" si="0"/>
        <v>44651</v>
      </c>
      <c r="Y3" s="3">
        <f>EOMONTH(X3,1)</f>
        <v>44681</v>
      </c>
      <c r="Z3" s="3">
        <f t="shared" ref="Z3" si="1">EOMONTH(Y3,1)</f>
        <v>44712</v>
      </c>
      <c r="AA3" s="3">
        <f t="shared" ref="AA3" si="2">EOMONTH(Z3,1)</f>
        <v>44742</v>
      </c>
      <c r="AB3" s="3">
        <f t="shared" ref="AB3" si="3">EOMONTH(AA3,1)</f>
        <v>44773</v>
      </c>
      <c r="AC3" s="3">
        <f t="shared" ref="AC3" si="4">EOMONTH(AB3,1)</f>
        <v>44804</v>
      </c>
      <c r="AD3" s="3">
        <f t="shared" ref="AD3" si="5">EOMONTH(AC3,1)</f>
        <v>44834</v>
      </c>
      <c r="AE3" s="3">
        <f t="shared" ref="AE3" si="6">EOMONTH(AD3,1)</f>
        <v>44865</v>
      </c>
      <c r="AF3" s="3">
        <f t="shared" ref="AF3" si="7">EOMONTH(AE3,1)</f>
        <v>44895</v>
      </c>
      <c r="AG3" s="3">
        <f t="shared" ref="AG3" si="8">EOMONTH(AF3,1)</f>
        <v>44926</v>
      </c>
      <c r="AH3" s="3">
        <f t="shared" ref="AH3" si="9">EOMONTH(AG3,1)</f>
        <v>44957</v>
      </c>
      <c r="AI3" s="3">
        <f t="shared" ref="AI3" si="10">EOMONTH(AH3,1)</f>
        <v>44985</v>
      </c>
      <c r="AJ3" s="3">
        <f t="shared" ref="AJ3" si="11">EOMONTH(AI3,1)</f>
        <v>45016</v>
      </c>
      <c r="AK3" s="3">
        <f t="shared" ref="AK3" si="12">EOMONTH(AJ3,1)</f>
        <v>45046</v>
      </c>
      <c r="AL3" s="3">
        <f t="shared" ref="AL3" si="13">EOMONTH(AK3,1)</f>
        <v>45077</v>
      </c>
    </row>
    <row r="4" spans="1:38" ht="15.75" x14ac:dyDescent="0.25">
      <c r="A4" t="s">
        <v>52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x14ac:dyDescent="0.25">
      <c r="A5" t="s">
        <v>53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15.75" x14ac:dyDescent="0.25">
      <c r="A6" t="s">
        <v>79</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25">
      <c r="A7" t="s">
        <v>80</v>
      </c>
      <c r="B7" s="6"/>
      <c r="C7" s="10">
        <f>SUM(C51,C59,C66,C73,C80)</f>
        <v>0</v>
      </c>
      <c r="D7" s="10">
        <f t="shared" ref="D7:Z7" si="14">SUM(D51,D59,D66,D73,D80)</f>
        <v>0</v>
      </c>
      <c r="E7" s="10">
        <f t="shared" si="14"/>
        <v>153.91999999999999</v>
      </c>
      <c r="F7" s="10">
        <f t="shared" si="14"/>
        <v>153.91999999999999</v>
      </c>
      <c r="G7" s="10">
        <f t="shared" si="14"/>
        <v>148</v>
      </c>
      <c r="H7" s="10">
        <f t="shared" si="14"/>
        <v>465.14</v>
      </c>
      <c r="I7" s="10">
        <f t="shared" si="14"/>
        <v>465.14</v>
      </c>
      <c r="J7" s="10">
        <f t="shared" si="14"/>
        <v>465.14</v>
      </c>
      <c r="K7" s="10">
        <f t="shared" si="14"/>
        <v>447.25</v>
      </c>
      <c r="L7" s="10">
        <f t="shared" si="14"/>
        <v>483.03</v>
      </c>
      <c r="M7" s="10">
        <f t="shared" si="14"/>
        <v>411.47</v>
      </c>
      <c r="N7" s="10">
        <f t="shared" si="14"/>
        <v>465.14</v>
      </c>
      <c r="O7" s="10">
        <f t="shared" si="14"/>
        <v>447.25</v>
      </c>
      <c r="P7" s="10">
        <f t="shared" si="14"/>
        <v>429.35999999999996</v>
      </c>
      <c r="Q7" s="10">
        <f t="shared" si="14"/>
        <v>642.87</v>
      </c>
      <c r="R7" s="10">
        <f t="shared" si="14"/>
        <v>619.05999999999995</v>
      </c>
      <c r="S7" s="10">
        <f t="shared" si="14"/>
        <v>595.25</v>
      </c>
      <c r="T7" s="10">
        <f t="shared" si="14"/>
        <v>776.3599999999999</v>
      </c>
      <c r="U7" s="10">
        <f t="shared" si="14"/>
        <v>776.3599999999999</v>
      </c>
      <c r="V7" s="10">
        <f t="shared" si="14"/>
        <v>776.3599999999999</v>
      </c>
      <c r="W7" s="10">
        <f t="shared" si="14"/>
        <v>746.5</v>
      </c>
      <c r="X7" s="10">
        <f t="shared" si="14"/>
        <v>776.3599999999999</v>
      </c>
      <c r="Y7" s="10">
        <f t="shared" si="14"/>
        <v>716.63999999999987</v>
      </c>
      <c r="Z7" s="10">
        <f t="shared" si="14"/>
        <v>746.5</v>
      </c>
      <c r="AA7" s="10">
        <f t="shared" ref="AA7:AL7" si="15">SUM(AA51,AA59,AA66,AA73,AA80)</f>
        <v>716.63999999999987</v>
      </c>
      <c r="AB7" s="10">
        <f t="shared" si="15"/>
        <v>716.63999999999987</v>
      </c>
      <c r="AC7" s="10">
        <f t="shared" si="15"/>
        <v>806.22</v>
      </c>
      <c r="AD7" s="10">
        <f t="shared" si="15"/>
        <v>776.3599999999999</v>
      </c>
      <c r="AE7" s="10">
        <f t="shared" si="15"/>
        <v>746.5</v>
      </c>
      <c r="AF7" s="10">
        <f t="shared" si="15"/>
        <v>776.3599999999999</v>
      </c>
      <c r="AG7" s="10">
        <f t="shared" si="15"/>
        <v>746.5</v>
      </c>
      <c r="AH7" s="10">
        <f t="shared" si="15"/>
        <v>806.22</v>
      </c>
      <c r="AI7" s="10">
        <f t="shared" si="15"/>
        <v>746.5</v>
      </c>
      <c r="AJ7" s="10">
        <f t="shared" si="15"/>
        <v>776.3599999999999</v>
      </c>
      <c r="AK7" s="10">
        <f t="shared" si="15"/>
        <v>716.63999999999987</v>
      </c>
      <c r="AL7" s="10">
        <f t="shared" si="15"/>
        <v>746.5</v>
      </c>
    </row>
    <row r="8" spans="1:38" ht="15.75" x14ac:dyDescent="0.25">
      <c r="A8" t="s">
        <v>54</v>
      </c>
      <c r="B8" s="8"/>
      <c r="C8" s="8">
        <f>C18+C23+(C29*$B$29)+(C36*$B$36)</f>
        <v>0</v>
      </c>
      <c r="D8" s="8">
        <f>D18+D23+(D29*$B$29)+(D36*$B$36)</f>
        <v>0</v>
      </c>
      <c r="E8" s="8">
        <f t="shared" ref="E8:Z8" si="16">E18+E23+(E29*$B$29)+(E36*$B$36)</f>
        <v>44</v>
      </c>
      <c r="F8" s="8">
        <f t="shared" si="16"/>
        <v>44</v>
      </c>
      <c r="G8" s="8">
        <f t="shared" si="16"/>
        <v>44</v>
      </c>
      <c r="H8" s="8">
        <f t="shared" si="16"/>
        <v>44</v>
      </c>
      <c r="I8" s="8">
        <f t="shared" si="16"/>
        <v>114</v>
      </c>
      <c r="J8" s="8">
        <f t="shared" si="16"/>
        <v>124</v>
      </c>
      <c r="K8" s="8">
        <f t="shared" si="16"/>
        <v>137</v>
      </c>
      <c r="L8" s="8">
        <f t="shared" si="16"/>
        <v>149</v>
      </c>
      <c r="M8" s="8">
        <f t="shared" si="16"/>
        <v>171</v>
      </c>
      <c r="N8" s="8">
        <f t="shared" si="16"/>
        <v>187</v>
      </c>
      <c r="O8" s="8">
        <f t="shared" si="16"/>
        <v>214</v>
      </c>
      <c r="P8" s="8">
        <f t="shared" si="16"/>
        <v>241</v>
      </c>
      <c r="Q8" s="8">
        <f t="shared" si="16"/>
        <v>274</v>
      </c>
      <c r="R8" s="8">
        <f t="shared" si="16"/>
        <v>303</v>
      </c>
      <c r="S8" s="8">
        <f t="shared" si="16"/>
        <v>344</v>
      </c>
      <c r="T8" s="8">
        <f t="shared" si="16"/>
        <v>382</v>
      </c>
      <c r="U8" s="8">
        <f t="shared" si="16"/>
        <v>431</v>
      </c>
      <c r="V8" s="8">
        <f t="shared" si="16"/>
        <v>481</v>
      </c>
      <c r="W8" s="8">
        <f t="shared" si="16"/>
        <v>547</v>
      </c>
      <c r="X8" s="8">
        <f t="shared" si="16"/>
        <v>618</v>
      </c>
      <c r="Y8" s="8">
        <f t="shared" si="16"/>
        <v>694</v>
      </c>
      <c r="Z8" s="8">
        <f t="shared" si="16"/>
        <v>787</v>
      </c>
      <c r="AA8" s="8">
        <f t="shared" ref="AA8:AL8" si="17">AA18+AA23+(AA29*$B$29)+(AA36*$B$36)</f>
        <v>893</v>
      </c>
      <c r="AB8" s="8">
        <f t="shared" si="17"/>
        <v>1017</v>
      </c>
      <c r="AC8" s="8">
        <f t="shared" si="17"/>
        <v>1156</v>
      </c>
      <c r="AD8" s="8">
        <f t="shared" si="17"/>
        <v>1240</v>
      </c>
      <c r="AE8" s="8">
        <f t="shared" si="17"/>
        <v>1340</v>
      </c>
      <c r="AF8" s="8">
        <f t="shared" si="17"/>
        <v>1445</v>
      </c>
      <c r="AG8" s="8">
        <f t="shared" si="17"/>
        <v>1550</v>
      </c>
      <c r="AH8" s="8">
        <f t="shared" si="17"/>
        <v>1658</v>
      </c>
      <c r="AI8" s="8">
        <f t="shared" si="17"/>
        <v>1763</v>
      </c>
      <c r="AJ8" s="8">
        <f t="shared" si="17"/>
        <v>1868</v>
      </c>
      <c r="AK8" s="8">
        <f t="shared" si="17"/>
        <v>1968</v>
      </c>
      <c r="AL8" s="8">
        <f t="shared" si="17"/>
        <v>2073</v>
      </c>
    </row>
    <row r="9" spans="1:38" ht="15.75" x14ac:dyDescent="0.25">
      <c r="A9" t="s">
        <v>55</v>
      </c>
      <c r="B9" s="9"/>
      <c r="C9" s="39">
        <f t="shared" ref="C9:Y9" si="18">C19+C24+C30+C31+C37+C38</f>
        <v>0</v>
      </c>
      <c r="D9" s="39">
        <f t="shared" si="18"/>
        <v>0</v>
      </c>
      <c r="E9" s="39">
        <f t="shared" si="18"/>
        <v>80366.44</v>
      </c>
      <c r="F9" s="39">
        <f t="shared" si="18"/>
        <v>80366.44</v>
      </c>
      <c r="G9" s="39">
        <f t="shared" si="18"/>
        <v>80366.44</v>
      </c>
      <c r="H9" s="39">
        <f t="shared" si="18"/>
        <v>80366.44</v>
      </c>
      <c r="I9" s="39">
        <f t="shared" si="18"/>
        <v>188660.93000000002</v>
      </c>
      <c r="J9" s="39">
        <f t="shared" si="18"/>
        <v>216910.93000000002</v>
      </c>
      <c r="K9" s="39">
        <f t="shared" si="18"/>
        <v>264660.93</v>
      </c>
      <c r="L9" s="39">
        <f t="shared" si="18"/>
        <v>279660.93</v>
      </c>
      <c r="M9" s="39">
        <f t="shared" si="18"/>
        <v>372755.17</v>
      </c>
      <c r="N9" s="39">
        <f t="shared" si="18"/>
        <v>392755.17</v>
      </c>
      <c r="O9" s="39">
        <f t="shared" si="18"/>
        <v>492099.41000000003</v>
      </c>
      <c r="P9" s="39">
        <f t="shared" si="18"/>
        <v>528299.66</v>
      </c>
      <c r="Q9" s="39">
        <f t="shared" si="18"/>
        <v>635143.9</v>
      </c>
      <c r="R9" s="39">
        <f t="shared" si="18"/>
        <v>671393.9</v>
      </c>
      <c r="S9" s="39">
        <f t="shared" si="18"/>
        <v>788238.14</v>
      </c>
      <c r="T9" s="39">
        <f t="shared" si="18"/>
        <v>835738.14</v>
      </c>
      <c r="U9" s="39">
        <f t="shared" si="18"/>
        <v>899438.39</v>
      </c>
      <c r="V9" s="39">
        <f t="shared" si="18"/>
        <v>961938.39</v>
      </c>
      <c r="W9" s="39">
        <f t="shared" si="18"/>
        <v>1110032.6299999999</v>
      </c>
      <c r="X9" s="39">
        <f t="shared" si="18"/>
        <v>1201232.8799999999</v>
      </c>
      <c r="Y9" s="39">
        <f t="shared" si="18"/>
        <v>1296232.8799999999</v>
      </c>
      <c r="Z9" s="39">
        <f>Z19+Z24+Z30+Z31+Z37+Z38</f>
        <v>1414933.13</v>
      </c>
      <c r="AA9" s="39">
        <f t="shared" ref="AA9:AL9" si="19">AA19+AA24+AA30+AA31+AA37+AA38</f>
        <v>1549883.38</v>
      </c>
      <c r="AB9" s="39">
        <f t="shared" si="19"/>
        <v>1770477.62</v>
      </c>
      <c r="AC9" s="39">
        <f t="shared" si="19"/>
        <v>1946677.87</v>
      </c>
      <c r="AD9" s="39">
        <f t="shared" si="19"/>
        <v>2054128.12</v>
      </c>
      <c r="AE9" s="39">
        <f t="shared" si="19"/>
        <v>2179128.12</v>
      </c>
      <c r="AF9" s="39">
        <f t="shared" si="19"/>
        <v>2312828.3699999996</v>
      </c>
      <c r="AG9" s="39">
        <f t="shared" si="19"/>
        <v>2446528.6199999996</v>
      </c>
      <c r="AH9" s="39">
        <f t="shared" si="19"/>
        <v>2647122.86</v>
      </c>
      <c r="AI9" s="39">
        <f t="shared" si="19"/>
        <v>2780823.11</v>
      </c>
      <c r="AJ9" s="39">
        <f t="shared" si="19"/>
        <v>2914523.36</v>
      </c>
      <c r="AK9" s="39">
        <f t="shared" si="19"/>
        <v>3039523.36</v>
      </c>
      <c r="AL9" s="39">
        <f t="shared" si="19"/>
        <v>3173223.61</v>
      </c>
    </row>
    <row r="10" spans="1:38" ht="15.75" x14ac:dyDescent="0.25">
      <c r="A10" t="s">
        <v>56</v>
      </c>
      <c r="B10" s="9"/>
      <c r="C10" s="39">
        <f t="shared" ref="C10:Z10" si="20">0.95*C9</f>
        <v>0</v>
      </c>
      <c r="D10" s="39">
        <f t="shared" si="20"/>
        <v>0</v>
      </c>
      <c r="E10" s="39">
        <f t="shared" si="20"/>
        <v>76348.118000000002</v>
      </c>
      <c r="F10" s="39">
        <f t="shared" si="20"/>
        <v>76348.118000000002</v>
      </c>
      <c r="G10" s="39">
        <f t="shared" si="20"/>
        <v>76348.118000000002</v>
      </c>
      <c r="H10" s="39">
        <f t="shared" si="20"/>
        <v>76348.118000000002</v>
      </c>
      <c r="I10" s="39">
        <f t="shared" si="20"/>
        <v>179227.88350000003</v>
      </c>
      <c r="J10" s="39">
        <f t="shared" si="20"/>
        <v>206065.38350000003</v>
      </c>
      <c r="K10" s="39">
        <f t="shared" si="20"/>
        <v>251427.88349999997</v>
      </c>
      <c r="L10" s="39">
        <f t="shared" si="20"/>
        <v>265677.8835</v>
      </c>
      <c r="M10" s="39">
        <f t="shared" si="20"/>
        <v>354117.41149999999</v>
      </c>
      <c r="N10" s="39">
        <f t="shared" si="20"/>
        <v>373117.41149999999</v>
      </c>
      <c r="O10" s="39">
        <f t="shared" si="20"/>
        <v>467494.43950000004</v>
      </c>
      <c r="P10" s="39">
        <f t="shared" si="20"/>
        <v>501884.67700000003</v>
      </c>
      <c r="Q10" s="39">
        <f t="shared" si="20"/>
        <v>603386.70499999996</v>
      </c>
      <c r="R10" s="39">
        <f t="shared" si="20"/>
        <v>637824.20499999996</v>
      </c>
      <c r="S10" s="39">
        <f t="shared" si="20"/>
        <v>748826.23300000001</v>
      </c>
      <c r="T10" s="39">
        <f t="shared" si="20"/>
        <v>793951.23300000001</v>
      </c>
      <c r="U10" s="39">
        <f t="shared" si="20"/>
        <v>854466.47049999994</v>
      </c>
      <c r="V10" s="39">
        <f t="shared" si="20"/>
        <v>913841.47049999994</v>
      </c>
      <c r="W10" s="39">
        <f t="shared" si="20"/>
        <v>1054530.9984999998</v>
      </c>
      <c r="X10" s="39">
        <f t="shared" si="20"/>
        <v>1141171.2359999998</v>
      </c>
      <c r="Y10" s="39">
        <f t="shared" si="20"/>
        <v>1231421.2359999998</v>
      </c>
      <c r="Z10" s="39">
        <f t="shared" si="20"/>
        <v>1344186.4734999998</v>
      </c>
      <c r="AA10" s="39">
        <f t="shared" ref="AA10:AL10" si="21">0.95*AA9</f>
        <v>1472389.2109999999</v>
      </c>
      <c r="AB10" s="39">
        <f t="shared" si="21"/>
        <v>1681953.7390000001</v>
      </c>
      <c r="AC10" s="39">
        <f t="shared" si="21"/>
        <v>1849343.9765000001</v>
      </c>
      <c r="AD10" s="39">
        <f t="shared" si="21"/>
        <v>1951421.7139999999</v>
      </c>
      <c r="AE10" s="39">
        <f t="shared" si="21"/>
        <v>2070171.7139999999</v>
      </c>
      <c r="AF10" s="39">
        <f t="shared" si="21"/>
        <v>2197186.9514999995</v>
      </c>
      <c r="AG10" s="39">
        <f t="shared" si="21"/>
        <v>2324202.1889999998</v>
      </c>
      <c r="AH10" s="39">
        <f t="shared" si="21"/>
        <v>2514766.7169999997</v>
      </c>
      <c r="AI10" s="39">
        <f t="shared" si="21"/>
        <v>2641781.9544999995</v>
      </c>
      <c r="AJ10" s="39">
        <f t="shared" si="21"/>
        <v>2768797.1919999998</v>
      </c>
      <c r="AK10" s="39">
        <f t="shared" si="21"/>
        <v>2887547.1919999998</v>
      </c>
      <c r="AL10" s="39">
        <f t="shared" si="21"/>
        <v>3014562.4294999996</v>
      </c>
    </row>
    <row r="11" spans="1:38" ht="15.75" x14ac:dyDescent="0.25">
      <c r="A11" t="s">
        <v>57</v>
      </c>
      <c r="B11" s="9"/>
      <c r="C11" s="39">
        <f>(0.5*C9)-C45-C49-C50-C53-C57-C58-C61-C65-C68-C72-C75-C79-C83-C91-C97-C103</f>
        <v>0</v>
      </c>
      <c r="D11" s="39">
        <f t="shared" ref="D11:Z11" si="22">(0.5*D9)-D45-D49-D50-D53-D57-D58-D61-D65-D68-D72-D75-D79-D83-D91-D97-D103</f>
        <v>0</v>
      </c>
      <c r="E11" s="39">
        <f t="shared" si="22"/>
        <v>20183.22</v>
      </c>
      <c r="F11" s="39">
        <f t="shared" si="22"/>
        <v>10183.220000000001</v>
      </c>
      <c r="G11" s="39">
        <f t="shared" si="22"/>
        <v>-9316.7799999999988</v>
      </c>
      <c r="H11" s="39">
        <f t="shared" si="22"/>
        <v>-76316.78</v>
      </c>
      <c r="I11" s="39">
        <f t="shared" si="22"/>
        <v>-16669.534999999989</v>
      </c>
      <c r="J11" s="39">
        <f t="shared" si="22"/>
        <v>-5044.5349999999889</v>
      </c>
      <c r="K11" s="39">
        <f t="shared" si="22"/>
        <v>-43169.535000000003</v>
      </c>
      <c r="L11" s="39">
        <f t="shared" si="22"/>
        <v>5330.4649999999965</v>
      </c>
      <c r="M11" s="39">
        <f t="shared" si="22"/>
        <v>41877.584999999992</v>
      </c>
      <c r="N11" s="39">
        <f t="shared" si="22"/>
        <v>377.58499999999185</v>
      </c>
      <c r="O11" s="39">
        <f t="shared" si="22"/>
        <v>85049.705000000016</v>
      </c>
      <c r="P11" s="39">
        <f t="shared" si="22"/>
        <v>101149.83000000002</v>
      </c>
      <c r="Q11" s="39">
        <f t="shared" si="22"/>
        <v>65071.950000000012</v>
      </c>
      <c r="R11" s="39">
        <f t="shared" si="22"/>
        <v>128196.95000000001</v>
      </c>
      <c r="S11" s="39">
        <f t="shared" si="22"/>
        <v>180619.07</v>
      </c>
      <c r="T11" s="39">
        <f t="shared" si="22"/>
        <v>116869.07</v>
      </c>
      <c r="U11" s="39">
        <f t="shared" si="22"/>
        <v>217719.19500000001</v>
      </c>
      <c r="V11" s="39">
        <f t="shared" si="22"/>
        <v>248969.19500000001</v>
      </c>
      <c r="W11" s="39">
        <f t="shared" si="22"/>
        <v>251016.31499999994</v>
      </c>
      <c r="X11" s="39">
        <f t="shared" si="22"/>
        <v>364616.43999999994</v>
      </c>
      <c r="Y11" s="39">
        <f t="shared" si="22"/>
        <v>412116.43999999994</v>
      </c>
      <c r="Z11" s="39">
        <f t="shared" si="22"/>
        <v>399466.56499999994</v>
      </c>
      <c r="AA11" s="39">
        <f t="shared" ref="AA11:AL11" si="23">(0.5*AA9)-AA45-AA49-AA50-AA53-AA57-AA58-AA61-AA65-AA68-AA72-AA75-AA79-AA83-AA91-AA97-AA103</f>
        <v>520441.68999999994</v>
      </c>
      <c r="AB11" s="39">
        <f t="shared" si="23"/>
        <v>620738.81000000006</v>
      </c>
      <c r="AC11" s="39">
        <f t="shared" si="23"/>
        <v>614338.93500000006</v>
      </c>
      <c r="AD11" s="39">
        <f t="shared" si="23"/>
        <v>736064.06</v>
      </c>
      <c r="AE11" s="39">
        <f t="shared" si="23"/>
        <v>790564.06</v>
      </c>
      <c r="AF11" s="39">
        <f t="shared" si="23"/>
        <v>770914.18499999982</v>
      </c>
      <c r="AG11" s="39">
        <f t="shared" si="23"/>
        <v>899764.30999999982</v>
      </c>
      <c r="AH11" s="39">
        <f t="shared" si="23"/>
        <v>985561.42999999993</v>
      </c>
      <c r="AI11" s="39">
        <f t="shared" si="23"/>
        <v>974411.55499999993</v>
      </c>
      <c r="AJ11" s="39">
        <f t="shared" si="23"/>
        <v>1103261.68</v>
      </c>
      <c r="AK11" s="39">
        <f t="shared" si="23"/>
        <v>1151261.68</v>
      </c>
      <c r="AL11" s="39">
        <f t="shared" si="23"/>
        <v>1140111.8049999999</v>
      </c>
    </row>
    <row r="12" spans="1:38" ht="15.75" x14ac:dyDescent="0.25">
      <c r="A12" t="s">
        <v>58</v>
      </c>
      <c r="B12" s="7"/>
      <c r="C12" s="39">
        <f t="shared" ref="C12:Z12" si="24">0.9*C11</f>
        <v>0</v>
      </c>
      <c r="D12" s="39">
        <f t="shared" si="24"/>
        <v>0</v>
      </c>
      <c r="E12" s="39">
        <f t="shared" si="24"/>
        <v>18164.898000000001</v>
      </c>
      <c r="F12" s="39">
        <f t="shared" si="24"/>
        <v>9164.898000000001</v>
      </c>
      <c r="G12" s="39">
        <f t="shared" si="24"/>
        <v>-8385.101999999999</v>
      </c>
      <c r="H12" s="39">
        <f t="shared" si="24"/>
        <v>-68685.101999999999</v>
      </c>
      <c r="I12" s="39">
        <f t="shared" si="24"/>
        <v>-15002.581499999991</v>
      </c>
      <c r="J12" s="39">
        <f t="shared" si="24"/>
        <v>-4540.0814999999902</v>
      </c>
      <c r="K12" s="39">
        <f t="shared" si="24"/>
        <v>-38852.581500000008</v>
      </c>
      <c r="L12" s="39">
        <f t="shared" si="24"/>
        <v>4797.418499999997</v>
      </c>
      <c r="M12" s="39">
        <f t="shared" si="24"/>
        <v>37689.826499999996</v>
      </c>
      <c r="N12" s="39">
        <f t="shared" si="24"/>
        <v>339.82649999999268</v>
      </c>
      <c r="O12" s="39">
        <f t="shared" si="24"/>
        <v>76544.73450000002</v>
      </c>
      <c r="P12" s="39">
        <f t="shared" si="24"/>
        <v>91034.847000000023</v>
      </c>
      <c r="Q12" s="39">
        <f t="shared" si="24"/>
        <v>58564.755000000012</v>
      </c>
      <c r="R12" s="39">
        <f t="shared" si="24"/>
        <v>115377.25500000002</v>
      </c>
      <c r="S12" s="39">
        <f t="shared" si="24"/>
        <v>162557.163</v>
      </c>
      <c r="T12" s="39">
        <f t="shared" si="24"/>
        <v>105182.16300000002</v>
      </c>
      <c r="U12" s="39">
        <f t="shared" si="24"/>
        <v>195947.27550000002</v>
      </c>
      <c r="V12" s="39">
        <f t="shared" si="24"/>
        <v>224072.27550000002</v>
      </c>
      <c r="W12" s="39">
        <f t="shared" si="24"/>
        <v>225914.68349999996</v>
      </c>
      <c r="X12" s="39">
        <f t="shared" si="24"/>
        <v>328154.79599999997</v>
      </c>
      <c r="Y12" s="39">
        <f t="shared" si="24"/>
        <v>370904.79599999997</v>
      </c>
      <c r="Z12" s="39">
        <f t="shared" si="24"/>
        <v>359519.90849999996</v>
      </c>
      <c r="AA12" s="39">
        <f t="shared" ref="AA12:AL12" si="25">0.9*AA11</f>
        <v>468397.52099999995</v>
      </c>
      <c r="AB12" s="39">
        <f t="shared" si="25"/>
        <v>558664.92900000012</v>
      </c>
      <c r="AC12" s="39">
        <f t="shared" si="25"/>
        <v>552905.04150000005</v>
      </c>
      <c r="AD12" s="39">
        <f t="shared" si="25"/>
        <v>662457.6540000001</v>
      </c>
      <c r="AE12" s="39">
        <f t="shared" si="25"/>
        <v>711507.6540000001</v>
      </c>
      <c r="AF12" s="39">
        <f t="shared" si="25"/>
        <v>693822.76649999991</v>
      </c>
      <c r="AG12" s="39">
        <f t="shared" si="25"/>
        <v>809787.87899999984</v>
      </c>
      <c r="AH12" s="39">
        <f t="shared" si="25"/>
        <v>887005.28700000001</v>
      </c>
      <c r="AI12" s="39">
        <f t="shared" si="25"/>
        <v>876970.39949999994</v>
      </c>
      <c r="AJ12" s="39">
        <f t="shared" si="25"/>
        <v>992935.51199999999</v>
      </c>
      <c r="AK12" s="39">
        <f t="shared" si="25"/>
        <v>1036135.512</v>
      </c>
      <c r="AL12" s="39">
        <f t="shared" si="25"/>
        <v>1026100.6244999999</v>
      </c>
    </row>
    <row r="13" spans="1:38" ht="15.75" x14ac:dyDescent="0.25">
      <c r="A13" t="s">
        <v>59</v>
      </c>
      <c r="B13" s="7"/>
      <c r="C13" s="39">
        <f t="shared" ref="C13:Z13" si="26">C20+C21+C25+C33+C34+C40+C41</f>
        <v>0</v>
      </c>
      <c r="D13" s="39">
        <f t="shared" si="26"/>
        <v>0</v>
      </c>
      <c r="E13" s="39">
        <f t="shared" si="26"/>
        <v>0</v>
      </c>
      <c r="F13" s="39">
        <f t="shared" si="26"/>
        <v>0</v>
      </c>
      <c r="G13" s="39">
        <f t="shared" si="26"/>
        <v>0</v>
      </c>
      <c r="H13" s="39">
        <f t="shared" si="26"/>
        <v>0</v>
      </c>
      <c r="I13" s="39">
        <f t="shared" si="26"/>
        <v>0</v>
      </c>
      <c r="J13" s="39">
        <f t="shared" si="26"/>
        <v>48219.864000000001</v>
      </c>
      <c r="K13" s="39">
        <f t="shared" si="26"/>
        <v>48219.864000000001</v>
      </c>
      <c r="L13" s="39">
        <f t="shared" si="26"/>
        <v>56256.507999999994</v>
      </c>
      <c r="M13" s="39">
        <f t="shared" si="26"/>
        <v>72406.507999999987</v>
      </c>
      <c r="N13" s="39">
        <f t="shared" si="26"/>
        <v>154583.20199999999</v>
      </c>
      <c r="O13" s="39">
        <f t="shared" si="26"/>
        <v>195320.70199999999</v>
      </c>
      <c r="P13" s="39">
        <f t="shared" si="26"/>
        <v>222262.65099999998</v>
      </c>
      <c r="Q13" s="39">
        <f t="shared" si="26"/>
        <v>300362.65100000001</v>
      </c>
      <c r="R13" s="39">
        <f t="shared" si="26"/>
        <v>320794.19500000001</v>
      </c>
      <c r="S13" s="39">
        <f t="shared" si="26"/>
        <v>403394.19500000001</v>
      </c>
      <c r="T13" s="39">
        <f t="shared" si="26"/>
        <v>430022.663</v>
      </c>
      <c r="U13" s="39">
        <f t="shared" si="26"/>
        <v>524467.81300000008</v>
      </c>
      <c r="V13" s="39">
        <f t="shared" si="26"/>
        <v>557971.28100000008</v>
      </c>
      <c r="W13" s="39">
        <f t="shared" si="26"/>
        <v>656128.80599999998</v>
      </c>
      <c r="X13" s="39">
        <f t="shared" si="26"/>
        <v>698632.27400000009</v>
      </c>
      <c r="Y13" s="39">
        <f t="shared" si="26"/>
        <v>741507.27400000009</v>
      </c>
      <c r="Z13" s="39">
        <f t="shared" si="26"/>
        <v>796986.84800000011</v>
      </c>
      <c r="AA13" s="39">
        <f t="shared" ref="AA13:AL13" si="27">AA20+AA21+AA25+AA33+AA34+AA40+AA41</f>
        <v>917961.84800000011</v>
      </c>
      <c r="AB13" s="39">
        <f t="shared" si="27"/>
        <v>988763.41700000013</v>
      </c>
      <c r="AC13" s="39">
        <f t="shared" si="27"/>
        <v>1068358.567</v>
      </c>
      <c r="AD13" s="39">
        <f t="shared" si="27"/>
        <v>1154867.9909999999</v>
      </c>
      <c r="AE13" s="39">
        <f t="shared" si="27"/>
        <v>1259958.166</v>
      </c>
      <c r="AF13" s="39">
        <f t="shared" si="27"/>
        <v>1443465.8159999999</v>
      </c>
      <c r="AG13" s="39">
        <f t="shared" si="27"/>
        <v>1579642.385</v>
      </c>
      <c r="AH13" s="39">
        <f t="shared" si="27"/>
        <v>1736607.5599999998</v>
      </c>
      <c r="AI13" s="39">
        <f t="shared" si="27"/>
        <v>1845649.6340000001</v>
      </c>
      <c r="AJ13" s="39">
        <f t="shared" si="27"/>
        <v>1973769.659</v>
      </c>
      <c r="AK13" s="39">
        <f t="shared" si="27"/>
        <v>2093359.834</v>
      </c>
      <c r="AL13" s="39">
        <f t="shared" si="27"/>
        <v>2281929.9840000002</v>
      </c>
    </row>
    <row r="14" spans="1:38" ht="15.75" x14ac:dyDescent="0.25">
      <c r="A14" t="s">
        <v>60</v>
      </c>
      <c r="B14" s="7"/>
      <c r="C14" s="39">
        <f t="shared" ref="C14:Z14" si="28">C13</f>
        <v>0</v>
      </c>
      <c r="D14" s="39">
        <f t="shared" si="28"/>
        <v>0</v>
      </c>
      <c r="E14" s="39">
        <f t="shared" si="28"/>
        <v>0</v>
      </c>
      <c r="F14" s="39">
        <f t="shared" si="28"/>
        <v>0</v>
      </c>
      <c r="G14" s="39">
        <f t="shared" si="28"/>
        <v>0</v>
      </c>
      <c r="H14" s="39">
        <f t="shared" si="28"/>
        <v>0</v>
      </c>
      <c r="I14" s="39">
        <f t="shared" si="28"/>
        <v>0</v>
      </c>
      <c r="J14" s="39">
        <f t="shared" si="28"/>
        <v>48219.864000000001</v>
      </c>
      <c r="K14" s="39">
        <f t="shared" si="28"/>
        <v>48219.864000000001</v>
      </c>
      <c r="L14" s="39">
        <f t="shared" si="28"/>
        <v>56256.507999999994</v>
      </c>
      <c r="M14" s="39">
        <f t="shared" si="28"/>
        <v>72406.507999999987</v>
      </c>
      <c r="N14" s="39">
        <f t="shared" si="28"/>
        <v>154583.20199999999</v>
      </c>
      <c r="O14" s="39">
        <f t="shared" si="28"/>
        <v>195320.70199999999</v>
      </c>
      <c r="P14" s="39">
        <f t="shared" si="28"/>
        <v>222262.65099999998</v>
      </c>
      <c r="Q14" s="39">
        <f t="shared" si="28"/>
        <v>300362.65100000001</v>
      </c>
      <c r="R14" s="39">
        <f t="shared" si="28"/>
        <v>320794.19500000001</v>
      </c>
      <c r="S14" s="39">
        <f t="shared" si="28"/>
        <v>403394.19500000001</v>
      </c>
      <c r="T14" s="39">
        <f t="shared" si="28"/>
        <v>430022.663</v>
      </c>
      <c r="U14" s="39">
        <f t="shared" si="28"/>
        <v>524467.81300000008</v>
      </c>
      <c r="V14" s="39">
        <f t="shared" si="28"/>
        <v>557971.28100000008</v>
      </c>
      <c r="W14" s="39">
        <f t="shared" si="28"/>
        <v>656128.80599999998</v>
      </c>
      <c r="X14" s="39">
        <f t="shared" si="28"/>
        <v>698632.27400000009</v>
      </c>
      <c r="Y14" s="39">
        <f t="shared" si="28"/>
        <v>741507.27400000009</v>
      </c>
      <c r="Z14" s="39">
        <f t="shared" si="28"/>
        <v>796986.84800000011</v>
      </c>
      <c r="AA14" s="39">
        <f t="shared" ref="AA14:AL14" si="29">AA13</f>
        <v>917961.84800000011</v>
      </c>
      <c r="AB14" s="39">
        <f t="shared" si="29"/>
        <v>988763.41700000013</v>
      </c>
      <c r="AC14" s="39">
        <f t="shared" si="29"/>
        <v>1068358.567</v>
      </c>
      <c r="AD14" s="39">
        <f t="shared" si="29"/>
        <v>1154867.9909999999</v>
      </c>
      <c r="AE14" s="39">
        <f t="shared" si="29"/>
        <v>1259958.166</v>
      </c>
      <c r="AF14" s="39">
        <f t="shared" si="29"/>
        <v>1443465.8159999999</v>
      </c>
      <c r="AG14" s="39">
        <f t="shared" si="29"/>
        <v>1579642.385</v>
      </c>
      <c r="AH14" s="39">
        <f t="shared" si="29"/>
        <v>1736607.5599999998</v>
      </c>
      <c r="AI14" s="39">
        <f t="shared" si="29"/>
        <v>1845649.6340000001</v>
      </c>
      <c r="AJ14" s="39">
        <f t="shared" si="29"/>
        <v>1973769.659</v>
      </c>
      <c r="AK14" s="39">
        <f t="shared" si="29"/>
        <v>2093359.834</v>
      </c>
      <c r="AL14" s="39">
        <f t="shared" si="29"/>
        <v>2281929.9840000002</v>
      </c>
    </row>
    <row r="15" spans="1:38" ht="15.75" x14ac:dyDescent="0.25">
      <c r="A15" t="s">
        <v>61</v>
      </c>
      <c r="B15" s="5"/>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row>
    <row r="18" spans="1:38" ht="15.75" x14ac:dyDescent="0.25">
      <c r="A18" t="s">
        <v>43</v>
      </c>
      <c r="I18" s="26">
        <v>60</v>
      </c>
      <c r="J18" s="25">
        <f>ROUNDUP(I18*1.15,0)</f>
        <v>69</v>
      </c>
      <c r="K18" s="25">
        <f t="shared" ref="K18:Z18" si="30">ROUNDUP(J18*1.15,0)</f>
        <v>80</v>
      </c>
      <c r="L18" s="25">
        <f t="shared" si="30"/>
        <v>92</v>
      </c>
      <c r="M18" s="25">
        <f t="shared" si="30"/>
        <v>106</v>
      </c>
      <c r="N18" s="25">
        <f t="shared" si="30"/>
        <v>122</v>
      </c>
      <c r="O18" s="25">
        <f t="shared" si="30"/>
        <v>141</v>
      </c>
      <c r="P18" s="25">
        <f t="shared" si="30"/>
        <v>163</v>
      </c>
      <c r="Q18" s="25">
        <f t="shared" si="30"/>
        <v>188</v>
      </c>
      <c r="R18" s="25">
        <f t="shared" si="30"/>
        <v>217</v>
      </c>
      <c r="S18" s="25">
        <f t="shared" si="30"/>
        <v>250</v>
      </c>
      <c r="T18" s="25">
        <f t="shared" si="30"/>
        <v>288</v>
      </c>
      <c r="U18" s="25">
        <f t="shared" si="30"/>
        <v>332</v>
      </c>
      <c r="V18" s="25">
        <f t="shared" si="30"/>
        <v>382</v>
      </c>
      <c r="W18" s="25">
        <f t="shared" si="30"/>
        <v>440</v>
      </c>
      <c r="X18" s="25">
        <f t="shared" si="30"/>
        <v>506</v>
      </c>
      <c r="Y18" s="25">
        <f t="shared" si="30"/>
        <v>582</v>
      </c>
      <c r="Z18" s="25">
        <f t="shared" si="30"/>
        <v>670</v>
      </c>
      <c r="AA18" s="25">
        <f t="shared" ref="AA18" si="31">ROUNDUP(Z18*1.15,0)</f>
        <v>771</v>
      </c>
      <c r="AB18" s="25">
        <f t="shared" ref="AB18" si="32">ROUNDUP(AA18*1.15,0)</f>
        <v>887</v>
      </c>
      <c r="AC18" s="25">
        <f t="shared" ref="AC18" si="33">ROUNDUP(AB18*1.15,0)</f>
        <v>1021</v>
      </c>
      <c r="AD18" s="25">
        <v>1100</v>
      </c>
      <c r="AE18" s="25">
        <v>1200</v>
      </c>
      <c r="AF18" s="25">
        <v>1300</v>
      </c>
      <c r="AG18" s="25">
        <v>1400</v>
      </c>
      <c r="AH18" s="25">
        <v>1500</v>
      </c>
      <c r="AI18" s="25">
        <v>1600</v>
      </c>
      <c r="AJ18" s="25">
        <v>1700</v>
      </c>
      <c r="AK18" s="25">
        <v>1800</v>
      </c>
      <c r="AL18" s="25">
        <v>1900</v>
      </c>
    </row>
    <row r="19" spans="1:38" ht="15.75" x14ac:dyDescent="0.25">
      <c r="A19" s="11" t="s">
        <v>29</v>
      </c>
      <c r="I19" s="26">
        <f t="shared" ref="I19:Z19" si="34">I18*$B$20</f>
        <v>75000</v>
      </c>
      <c r="J19" s="26">
        <f t="shared" si="34"/>
        <v>86250</v>
      </c>
      <c r="K19" s="26">
        <f t="shared" si="34"/>
        <v>100000</v>
      </c>
      <c r="L19" s="26">
        <f t="shared" si="34"/>
        <v>115000</v>
      </c>
      <c r="M19" s="26">
        <f t="shared" si="34"/>
        <v>132500</v>
      </c>
      <c r="N19" s="26">
        <f t="shared" si="34"/>
        <v>152500</v>
      </c>
      <c r="O19" s="26">
        <f t="shared" si="34"/>
        <v>176250</v>
      </c>
      <c r="P19" s="26">
        <f t="shared" si="34"/>
        <v>203750</v>
      </c>
      <c r="Q19" s="26">
        <f t="shared" si="34"/>
        <v>235000</v>
      </c>
      <c r="R19" s="26">
        <f t="shared" si="34"/>
        <v>271250</v>
      </c>
      <c r="S19" s="26">
        <f t="shared" si="34"/>
        <v>312500</v>
      </c>
      <c r="T19" s="26">
        <f t="shared" si="34"/>
        <v>360000</v>
      </c>
      <c r="U19" s="26">
        <f t="shared" si="34"/>
        <v>415000</v>
      </c>
      <c r="V19" s="26">
        <f t="shared" si="34"/>
        <v>477500</v>
      </c>
      <c r="W19" s="26">
        <f t="shared" si="34"/>
        <v>550000</v>
      </c>
      <c r="X19" s="26">
        <f t="shared" si="34"/>
        <v>632500</v>
      </c>
      <c r="Y19" s="26">
        <f t="shared" si="34"/>
        <v>727500</v>
      </c>
      <c r="Z19" s="26">
        <f t="shared" si="34"/>
        <v>837500</v>
      </c>
      <c r="AA19" s="26">
        <f t="shared" ref="AA19:AL19" si="35">AA18*$B$20</f>
        <v>963750</v>
      </c>
      <c r="AB19" s="26">
        <f t="shared" si="35"/>
        <v>1108750</v>
      </c>
      <c r="AC19" s="26">
        <f t="shared" si="35"/>
        <v>1276250</v>
      </c>
      <c r="AD19" s="26">
        <f t="shared" si="35"/>
        <v>1375000</v>
      </c>
      <c r="AE19" s="26">
        <f t="shared" si="35"/>
        <v>1500000</v>
      </c>
      <c r="AF19" s="26">
        <f t="shared" si="35"/>
        <v>1625000</v>
      </c>
      <c r="AG19" s="26">
        <f t="shared" si="35"/>
        <v>1750000</v>
      </c>
      <c r="AH19" s="26">
        <f t="shared" si="35"/>
        <v>1875000</v>
      </c>
      <c r="AI19" s="26">
        <f t="shared" si="35"/>
        <v>2000000</v>
      </c>
      <c r="AJ19" s="26">
        <f t="shared" si="35"/>
        <v>2125000</v>
      </c>
      <c r="AK19" s="26">
        <f t="shared" si="35"/>
        <v>2250000</v>
      </c>
      <c r="AL19" s="26">
        <f t="shared" si="35"/>
        <v>2375000</v>
      </c>
    </row>
    <row r="20" spans="1:38" ht="15.75" x14ac:dyDescent="0.25">
      <c r="A20" s="11" t="s">
        <v>26</v>
      </c>
      <c r="B20" s="27">
        <v>1250</v>
      </c>
      <c r="I20" s="26"/>
      <c r="J20" s="25"/>
      <c r="K20" s="25"/>
      <c r="L20" s="25"/>
      <c r="M20" s="25"/>
      <c r="N20" s="25">
        <f>I19*$B$21</f>
        <v>56250</v>
      </c>
      <c r="O20" s="25">
        <f t="shared" ref="O20:Z20" si="36">J19*$B$21</f>
        <v>64687.5</v>
      </c>
      <c r="P20" s="25">
        <f t="shared" si="36"/>
        <v>75000</v>
      </c>
      <c r="Q20" s="25">
        <f t="shared" si="36"/>
        <v>86250</v>
      </c>
      <c r="R20" s="25">
        <f t="shared" si="36"/>
        <v>99375</v>
      </c>
      <c r="S20" s="25">
        <f t="shared" si="36"/>
        <v>114375</v>
      </c>
      <c r="T20" s="25">
        <f t="shared" si="36"/>
        <v>132187.5</v>
      </c>
      <c r="U20" s="25">
        <f t="shared" si="36"/>
        <v>152812.5</v>
      </c>
      <c r="V20" s="25">
        <f t="shared" si="36"/>
        <v>176250</v>
      </c>
      <c r="W20" s="25">
        <f t="shared" si="36"/>
        <v>203437.5</v>
      </c>
      <c r="X20" s="25">
        <f t="shared" si="36"/>
        <v>234375</v>
      </c>
      <c r="Y20" s="25">
        <f t="shared" si="36"/>
        <v>270000</v>
      </c>
      <c r="Z20" s="25">
        <f t="shared" si="36"/>
        <v>311250</v>
      </c>
      <c r="AA20" s="25">
        <f t="shared" ref="AA20" si="37">V19*$B$21</f>
        <v>358125</v>
      </c>
      <c r="AB20" s="25">
        <f t="shared" ref="AB20" si="38">W19*$B$21</f>
        <v>412500</v>
      </c>
      <c r="AC20" s="25">
        <f t="shared" ref="AC20" si="39">X19*$B$21</f>
        <v>474375</v>
      </c>
      <c r="AD20" s="25">
        <f t="shared" ref="AD20" si="40">Y19*$B$21</f>
        <v>545625</v>
      </c>
      <c r="AE20" s="25">
        <f t="shared" ref="AE20" si="41">Z19*$B$21</f>
        <v>628125</v>
      </c>
      <c r="AF20" s="25">
        <f t="shared" ref="AF20" si="42">AA19*$B$21</f>
        <v>722812.5</v>
      </c>
      <c r="AG20" s="25">
        <f t="shared" ref="AG20" si="43">AB19*$B$21</f>
        <v>831562.5</v>
      </c>
      <c r="AH20" s="25">
        <f t="shared" ref="AH20" si="44">AC19*$B$21</f>
        <v>957187.5</v>
      </c>
      <c r="AI20" s="25">
        <f t="shared" ref="AI20" si="45">AD19*$B$21</f>
        <v>1031250</v>
      </c>
      <c r="AJ20" s="25">
        <f t="shared" ref="AJ20" si="46">AE19*$B$21</f>
        <v>1125000</v>
      </c>
      <c r="AK20" s="25">
        <f t="shared" ref="AK20" si="47">AF19*$B$21</f>
        <v>1218750</v>
      </c>
      <c r="AL20" s="25">
        <f t="shared" ref="AL20" si="48">AG19*$B$21</f>
        <v>1312500</v>
      </c>
    </row>
    <row r="21" spans="1:38" ht="15.75" x14ac:dyDescent="0.25">
      <c r="A21" s="11" t="s">
        <v>27</v>
      </c>
      <c r="B21">
        <v>0.75</v>
      </c>
      <c r="I21" s="26"/>
      <c r="J21" s="25"/>
      <c r="K21" s="25"/>
      <c r="L21" s="25"/>
      <c r="M21" s="25"/>
      <c r="N21" s="25"/>
      <c r="O21" s="25"/>
      <c r="P21" s="25">
        <f>I19*$B$22</f>
        <v>15000</v>
      </c>
      <c r="Q21" s="25">
        <f t="shared" ref="Q21:Z21" si="49">J19*$B$22</f>
        <v>17250</v>
      </c>
      <c r="R21" s="25">
        <f t="shared" si="49"/>
        <v>20000</v>
      </c>
      <c r="S21" s="25">
        <f t="shared" si="49"/>
        <v>23000</v>
      </c>
      <c r="T21" s="25">
        <f t="shared" si="49"/>
        <v>26500</v>
      </c>
      <c r="U21" s="25">
        <f t="shared" si="49"/>
        <v>30500</v>
      </c>
      <c r="V21" s="25">
        <f t="shared" si="49"/>
        <v>35250</v>
      </c>
      <c r="W21" s="25">
        <f t="shared" si="49"/>
        <v>40750</v>
      </c>
      <c r="X21" s="25">
        <f t="shared" si="49"/>
        <v>47000</v>
      </c>
      <c r="Y21" s="25">
        <f t="shared" si="49"/>
        <v>54250</v>
      </c>
      <c r="Z21" s="25">
        <f t="shared" si="49"/>
        <v>62500</v>
      </c>
      <c r="AA21" s="25">
        <f t="shared" ref="AA21" si="50">T19*$B$22</f>
        <v>72000</v>
      </c>
      <c r="AB21" s="25">
        <f t="shared" ref="AB21" si="51">U19*$B$22</f>
        <v>83000</v>
      </c>
      <c r="AC21" s="25">
        <f t="shared" ref="AC21" si="52">V19*$B$22</f>
        <v>95500</v>
      </c>
      <c r="AD21" s="25">
        <f t="shared" ref="AD21" si="53">W19*$B$22</f>
        <v>110000</v>
      </c>
      <c r="AE21" s="25">
        <f t="shared" ref="AE21" si="54">X19*$B$22</f>
        <v>126500</v>
      </c>
      <c r="AF21" s="25">
        <f t="shared" ref="AF21" si="55">Y19*$B$22</f>
        <v>145500</v>
      </c>
      <c r="AG21" s="25">
        <f t="shared" ref="AG21" si="56">Z19*$B$22</f>
        <v>167500</v>
      </c>
      <c r="AH21" s="25">
        <f t="shared" ref="AH21" si="57">AA19*$B$22</f>
        <v>192750</v>
      </c>
      <c r="AI21" s="25">
        <f t="shared" ref="AI21" si="58">AB19*$B$22</f>
        <v>221750</v>
      </c>
      <c r="AJ21" s="25">
        <f t="shared" ref="AJ21" si="59">AC19*$B$22</f>
        <v>255250</v>
      </c>
      <c r="AK21" s="25">
        <f t="shared" ref="AK21" si="60">AD19*$B$22</f>
        <v>275000</v>
      </c>
      <c r="AL21" s="25">
        <f t="shared" ref="AL21" si="61">AE19*$B$22</f>
        <v>300000</v>
      </c>
    </row>
    <row r="22" spans="1:38" ht="15.75" x14ac:dyDescent="0.25">
      <c r="A22" s="11" t="s">
        <v>28</v>
      </c>
      <c r="B22">
        <v>0.2</v>
      </c>
      <c r="I22" s="26"/>
      <c r="J22" s="25"/>
      <c r="K22" s="25"/>
      <c r="L22" s="25"/>
      <c r="M22" s="25"/>
      <c r="N22" s="25"/>
      <c r="O22" s="25"/>
      <c r="P22" s="25"/>
      <c r="Q22" s="25"/>
      <c r="R22" s="25"/>
      <c r="S22" s="25"/>
      <c r="T22" s="25"/>
      <c r="U22" s="25"/>
      <c r="V22" s="25"/>
      <c r="W22" s="25"/>
      <c r="X22" s="25"/>
      <c r="Y22" s="25"/>
    </row>
    <row r="23" spans="1:38" ht="15.75" x14ac:dyDescent="0.25">
      <c r="A23" s="29" t="s">
        <v>44</v>
      </c>
      <c r="I23" s="26">
        <v>1</v>
      </c>
      <c r="J23" s="25">
        <v>2</v>
      </c>
      <c r="K23" s="25">
        <v>4</v>
      </c>
      <c r="L23" s="25">
        <v>4</v>
      </c>
      <c r="M23" s="25">
        <v>8</v>
      </c>
      <c r="N23" s="25">
        <v>8</v>
      </c>
      <c r="O23" s="25">
        <v>12</v>
      </c>
      <c r="P23" s="25">
        <v>12</v>
      </c>
      <c r="Q23" s="25">
        <v>16</v>
      </c>
      <c r="R23" s="25">
        <v>16</v>
      </c>
      <c r="S23" s="25">
        <v>20</v>
      </c>
      <c r="T23" s="25">
        <v>20</v>
      </c>
      <c r="U23" s="25">
        <v>20</v>
      </c>
      <c r="V23" s="25">
        <v>20</v>
      </c>
      <c r="W23" s="25">
        <v>24</v>
      </c>
      <c r="X23" s="25">
        <v>24</v>
      </c>
      <c r="Y23" s="25">
        <v>24</v>
      </c>
      <c r="Z23" s="25">
        <v>24</v>
      </c>
      <c r="AA23" s="25">
        <v>24</v>
      </c>
      <c r="AB23" s="25">
        <v>28</v>
      </c>
      <c r="AC23" s="25">
        <v>28</v>
      </c>
      <c r="AD23" s="25">
        <v>28</v>
      </c>
      <c r="AE23" s="25">
        <v>28</v>
      </c>
      <c r="AF23" s="25">
        <v>28</v>
      </c>
      <c r="AG23" s="25">
        <v>28</v>
      </c>
      <c r="AH23" s="25">
        <v>32</v>
      </c>
      <c r="AI23" s="25">
        <v>32</v>
      </c>
      <c r="AJ23" s="25">
        <v>32</v>
      </c>
      <c r="AK23" s="25">
        <v>32</v>
      </c>
      <c r="AL23" s="25">
        <v>32</v>
      </c>
    </row>
    <row r="24" spans="1:38" ht="15.75" x14ac:dyDescent="0.25">
      <c r="A24" s="11" t="s">
        <v>45</v>
      </c>
      <c r="I24" s="26">
        <f>I23*$B$25</f>
        <v>17000</v>
      </c>
      <c r="J24" s="26">
        <f t="shared" ref="J24:Z24" si="62">J23*$B$25</f>
        <v>34000</v>
      </c>
      <c r="K24" s="26">
        <f t="shared" si="62"/>
        <v>68000</v>
      </c>
      <c r="L24" s="26">
        <f t="shared" si="62"/>
        <v>68000</v>
      </c>
      <c r="M24" s="26">
        <f t="shared" si="62"/>
        <v>136000</v>
      </c>
      <c r="N24" s="26">
        <f t="shared" si="62"/>
        <v>136000</v>
      </c>
      <c r="O24" s="26">
        <f t="shared" si="62"/>
        <v>204000</v>
      </c>
      <c r="P24" s="26">
        <f t="shared" si="62"/>
        <v>204000</v>
      </c>
      <c r="Q24" s="26">
        <f t="shared" si="62"/>
        <v>272000</v>
      </c>
      <c r="R24" s="26">
        <f t="shared" si="62"/>
        <v>272000</v>
      </c>
      <c r="S24" s="26">
        <f t="shared" si="62"/>
        <v>340000</v>
      </c>
      <c r="T24" s="26">
        <f t="shared" si="62"/>
        <v>340000</v>
      </c>
      <c r="U24" s="26">
        <f t="shared" si="62"/>
        <v>340000</v>
      </c>
      <c r="V24" s="26">
        <f t="shared" si="62"/>
        <v>340000</v>
      </c>
      <c r="W24" s="26">
        <f t="shared" si="62"/>
        <v>408000</v>
      </c>
      <c r="X24" s="26">
        <f t="shared" si="62"/>
        <v>408000</v>
      </c>
      <c r="Y24" s="26">
        <f t="shared" si="62"/>
        <v>408000</v>
      </c>
      <c r="Z24" s="26">
        <f t="shared" si="62"/>
        <v>408000</v>
      </c>
      <c r="AA24" s="26">
        <f t="shared" ref="AA24:AL24" si="63">AA23*$B$25</f>
        <v>408000</v>
      </c>
      <c r="AB24" s="26">
        <f t="shared" si="63"/>
        <v>476000</v>
      </c>
      <c r="AC24" s="26">
        <f t="shared" si="63"/>
        <v>476000</v>
      </c>
      <c r="AD24" s="26">
        <f t="shared" si="63"/>
        <v>476000</v>
      </c>
      <c r="AE24" s="26">
        <f t="shared" si="63"/>
        <v>476000</v>
      </c>
      <c r="AF24" s="26">
        <f t="shared" si="63"/>
        <v>476000</v>
      </c>
      <c r="AG24" s="26">
        <f t="shared" si="63"/>
        <v>476000</v>
      </c>
      <c r="AH24" s="26">
        <f t="shared" si="63"/>
        <v>544000</v>
      </c>
      <c r="AI24" s="26">
        <f t="shared" si="63"/>
        <v>544000</v>
      </c>
      <c r="AJ24" s="26">
        <f t="shared" si="63"/>
        <v>544000</v>
      </c>
      <c r="AK24" s="26">
        <f t="shared" si="63"/>
        <v>544000</v>
      </c>
      <c r="AL24" s="26">
        <f t="shared" si="63"/>
        <v>544000</v>
      </c>
    </row>
    <row r="25" spans="1:38" ht="15.75" x14ac:dyDescent="0.25">
      <c r="A25" s="11" t="s">
        <v>26</v>
      </c>
      <c r="B25" s="27">
        <v>17000</v>
      </c>
      <c r="I25" s="26"/>
      <c r="J25" s="25"/>
      <c r="K25" s="25"/>
      <c r="L25" s="25"/>
      <c r="M25" s="25">
        <f>I24*$B$26</f>
        <v>16150</v>
      </c>
      <c r="N25" s="25">
        <f t="shared" ref="N25:Z25" si="64">J24*$B$26</f>
        <v>32300</v>
      </c>
      <c r="O25" s="25">
        <f t="shared" si="64"/>
        <v>64600</v>
      </c>
      <c r="P25" s="25">
        <f t="shared" si="64"/>
        <v>64600</v>
      </c>
      <c r="Q25" s="25">
        <f t="shared" si="64"/>
        <v>129200</v>
      </c>
      <c r="R25" s="25">
        <f t="shared" si="64"/>
        <v>129200</v>
      </c>
      <c r="S25" s="25">
        <f t="shared" si="64"/>
        <v>193800</v>
      </c>
      <c r="T25" s="25">
        <f t="shared" si="64"/>
        <v>193800</v>
      </c>
      <c r="U25" s="25">
        <f t="shared" si="64"/>
        <v>258400</v>
      </c>
      <c r="V25" s="25">
        <f t="shared" si="64"/>
        <v>258400</v>
      </c>
      <c r="W25" s="25">
        <f t="shared" si="64"/>
        <v>323000</v>
      </c>
      <c r="X25" s="25">
        <f t="shared" si="64"/>
        <v>323000</v>
      </c>
      <c r="Y25" s="25">
        <f t="shared" si="64"/>
        <v>323000</v>
      </c>
      <c r="Z25" s="25">
        <f t="shared" si="64"/>
        <v>323000</v>
      </c>
      <c r="AA25" s="25">
        <f t="shared" ref="AA25" si="65">W24*$B$26</f>
        <v>387600</v>
      </c>
      <c r="AB25" s="25">
        <f t="shared" ref="AB25" si="66">X24*$B$26</f>
        <v>387600</v>
      </c>
      <c r="AC25" s="25">
        <f t="shared" ref="AC25" si="67">Y24*$B$26</f>
        <v>387600</v>
      </c>
      <c r="AD25" s="25">
        <f t="shared" ref="AD25" si="68">Z24*$B$26</f>
        <v>387600</v>
      </c>
      <c r="AE25" s="25">
        <f t="shared" ref="AE25" si="69">AA24*$B$26</f>
        <v>387600</v>
      </c>
      <c r="AF25" s="25">
        <f t="shared" ref="AF25" si="70">AB24*$B$26</f>
        <v>452200</v>
      </c>
      <c r="AG25" s="25">
        <f t="shared" ref="AG25" si="71">AC24*$B$26</f>
        <v>452200</v>
      </c>
      <c r="AH25" s="25">
        <f t="shared" ref="AH25" si="72">AD24*$B$26</f>
        <v>452200</v>
      </c>
      <c r="AI25" s="25">
        <f t="shared" ref="AI25" si="73">AE24*$B$26</f>
        <v>452200</v>
      </c>
      <c r="AJ25" s="25">
        <f t="shared" ref="AJ25" si="74">AF24*$B$26</f>
        <v>452200</v>
      </c>
      <c r="AK25" s="25">
        <f t="shared" ref="AK25" si="75">AG24*$B$26</f>
        <v>452200</v>
      </c>
      <c r="AL25" s="25">
        <f t="shared" ref="AL25" si="76">AH24*$B$26</f>
        <v>516800</v>
      </c>
    </row>
    <row r="26" spans="1:38" ht="15.75" x14ac:dyDescent="0.25">
      <c r="A26" s="11" t="s">
        <v>30</v>
      </c>
      <c r="B26">
        <v>0.95</v>
      </c>
      <c r="I26" s="26"/>
      <c r="J26" s="25"/>
      <c r="K26" s="25"/>
      <c r="L26" s="25"/>
      <c r="M26" s="25"/>
      <c r="N26" s="25"/>
      <c r="O26" s="25"/>
      <c r="P26" s="25"/>
      <c r="Q26" s="25"/>
      <c r="R26" s="25"/>
      <c r="S26" s="25"/>
      <c r="T26" s="25"/>
      <c r="U26" s="25"/>
      <c r="V26" s="25"/>
      <c r="W26" s="25"/>
      <c r="X26" s="25"/>
      <c r="Y26" s="25"/>
    </row>
    <row r="27" spans="1:38" s="30" customFormat="1" x14ac:dyDescent="0.25"/>
    <row r="28" spans="1:38" s="30" customFormat="1" x14ac:dyDescent="0.25">
      <c r="A28" s="36" t="s">
        <v>36</v>
      </c>
    </row>
    <row r="29" spans="1:38" s="30" customFormat="1" x14ac:dyDescent="0.25">
      <c r="A29" s="31" t="s">
        <v>42</v>
      </c>
      <c r="B29" s="30">
        <v>5</v>
      </c>
      <c r="E29" s="30">
        <f>4+(ROUNDUP(E18/150,0))</f>
        <v>4</v>
      </c>
      <c r="F29" s="30">
        <f t="shared" ref="F29:AL29" si="77">4+(ROUNDUP(F18/150,0))</f>
        <v>4</v>
      </c>
      <c r="G29" s="30">
        <f t="shared" si="77"/>
        <v>4</v>
      </c>
      <c r="H29" s="30">
        <f t="shared" si="77"/>
        <v>4</v>
      </c>
      <c r="I29" s="30">
        <f t="shared" si="77"/>
        <v>5</v>
      </c>
      <c r="J29" s="30">
        <f>4+(ROUNDUP(J18/150,0))</f>
        <v>5</v>
      </c>
      <c r="K29" s="30">
        <f t="shared" si="77"/>
        <v>5</v>
      </c>
      <c r="L29" s="30">
        <f t="shared" si="77"/>
        <v>5</v>
      </c>
      <c r="M29" s="30">
        <f t="shared" si="77"/>
        <v>5</v>
      </c>
      <c r="N29" s="30">
        <f t="shared" si="77"/>
        <v>5</v>
      </c>
      <c r="O29" s="30">
        <f>4+(ROUNDUP(O18/150,0))</f>
        <v>5</v>
      </c>
      <c r="P29" s="30">
        <f t="shared" si="77"/>
        <v>6</v>
      </c>
      <c r="Q29" s="30">
        <f t="shared" si="77"/>
        <v>6</v>
      </c>
      <c r="R29" s="30">
        <f t="shared" si="77"/>
        <v>6</v>
      </c>
      <c r="S29" s="30">
        <f t="shared" si="77"/>
        <v>6</v>
      </c>
      <c r="T29" s="30">
        <f t="shared" si="77"/>
        <v>6</v>
      </c>
      <c r="U29" s="30">
        <f t="shared" si="77"/>
        <v>7</v>
      </c>
      <c r="V29" s="30">
        <f t="shared" si="77"/>
        <v>7</v>
      </c>
      <c r="W29" s="30">
        <f t="shared" si="77"/>
        <v>7</v>
      </c>
      <c r="X29" s="30">
        <f t="shared" si="77"/>
        <v>8</v>
      </c>
      <c r="Y29" s="30">
        <f t="shared" si="77"/>
        <v>8</v>
      </c>
      <c r="Z29" s="30">
        <f t="shared" si="77"/>
        <v>9</v>
      </c>
      <c r="AA29" s="30">
        <f t="shared" si="77"/>
        <v>10</v>
      </c>
      <c r="AB29" s="30">
        <f t="shared" si="77"/>
        <v>10</v>
      </c>
      <c r="AC29" s="30">
        <f t="shared" si="77"/>
        <v>11</v>
      </c>
      <c r="AD29" s="30">
        <f t="shared" si="77"/>
        <v>12</v>
      </c>
      <c r="AE29" s="30">
        <f t="shared" si="77"/>
        <v>12</v>
      </c>
      <c r="AF29" s="30">
        <f t="shared" si="77"/>
        <v>13</v>
      </c>
      <c r="AG29" s="30">
        <f t="shared" si="77"/>
        <v>14</v>
      </c>
      <c r="AH29" s="30">
        <f t="shared" si="77"/>
        <v>14</v>
      </c>
      <c r="AI29" s="30">
        <f t="shared" si="77"/>
        <v>15</v>
      </c>
      <c r="AJ29" s="30">
        <f t="shared" si="77"/>
        <v>16</v>
      </c>
      <c r="AK29" s="30">
        <f t="shared" si="77"/>
        <v>16</v>
      </c>
      <c r="AL29" s="30">
        <f t="shared" si="77"/>
        <v>17</v>
      </c>
    </row>
    <row r="30" spans="1:38" s="30" customFormat="1" x14ac:dyDescent="0.25">
      <c r="A30" s="31" t="s">
        <v>33</v>
      </c>
      <c r="B30" s="32">
        <v>284</v>
      </c>
      <c r="E30" s="32">
        <f>E29*(1-$B$32)*$B$29*$B$30</f>
        <v>852.00000000000011</v>
      </c>
      <c r="F30" s="32">
        <f t="shared" ref="F30:Z30" si="78">F29*(1-$B$32)*$B$29*$B$30</f>
        <v>852.00000000000011</v>
      </c>
      <c r="G30" s="32">
        <f t="shared" si="78"/>
        <v>852.00000000000011</v>
      </c>
      <c r="H30" s="32">
        <f t="shared" si="78"/>
        <v>852.00000000000011</v>
      </c>
      <c r="I30" s="32">
        <f t="shared" si="78"/>
        <v>1065.0000000000002</v>
      </c>
      <c r="J30" s="32">
        <f t="shared" si="78"/>
        <v>1065.0000000000002</v>
      </c>
      <c r="K30" s="32">
        <f t="shared" si="78"/>
        <v>1065.0000000000002</v>
      </c>
      <c r="L30" s="32">
        <f t="shared" si="78"/>
        <v>1065.0000000000002</v>
      </c>
      <c r="M30" s="32">
        <f t="shared" si="78"/>
        <v>1065.0000000000002</v>
      </c>
      <c r="N30" s="32">
        <f t="shared" si="78"/>
        <v>1065.0000000000002</v>
      </c>
      <c r="O30" s="32">
        <f t="shared" si="78"/>
        <v>1065.0000000000002</v>
      </c>
      <c r="P30" s="32">
        <f t="shared" si="78"/>
        <v>1278.0000000000002</v>
      </c>
      <c r="Q30" s="32">
        <f t="shared" si="78"/>
        <v>1278.0000000000002</v>
      </c>
      <c r="R30" s="32">
        <f t="shared" si="78"/>
        <v>1278.0000000000002</v>
      </c>
      <c r="S30" s="32">
        <f t="shared" si="78"/>
        <v>1278.0000000000002</v>
      </c>
      <c r="T30" s="32">
        <f t="shared" si="78"/>
        <v>1278.0000000000002</v>
      </c>
      <c r="U30" s="32">
        <f t="shared" si="78"/>
        <v>1491.0000000000005</v>
      </c>
      <c r="V30" s="32">
        <f t="shared" si="78"/>
        <v>1491.0000000000005</v>
      </c>
      <c r="W30" s="32">
        <f t="shared" si="78"/>
        <v>1491.0000000000005</v>
      </c>
      <c r="X30" s="32">
        <f t="shared" si="78"/>
        <v>1704.0000000000002</v>
      </c>
      <c r="Y30" s="32">
        <f t="shared" si="78"/>
        <v>1704.0000000000002</v>
      </c>
      <c r="Z30" s="32">
        <f t="shared" si="78"/>
        <v>1917</v>
      </c>
      <c r="AA30" s="32">
        <f t="shared" ref="AA30:AL30" si="79">AA29*(1-$B$32)*$B$29*$B$30</f>
        <v>2130.0000000000005</v>
      </c>
      <c r="AB30" s="32">
        <f t="shared" si="79"/>
        <v>2130.0000000000005</v>
      </c>
      <c r="AC30" s="32">
        <f t="shared" si="79"/>
        <v>2343.0000000000005</v>
      </c>
      <c r="AD30" s="32">
        <f t="shared" si="79"/>
        <v>2556.0000000000005</v>
      </c>
      <c r="AE30" s="32">
        <f t="shared" si="79"/>
        <v>2556.0000000000005</v>
      </c>
      <c r="AF30" s="32">
        <f t="shared" si="79"/>
        <v>2769</v>
      </c>
      <c r="AG30" s="32">
        <f t="shared" si="79"/>
        <v>2982.0000000000009</v>
      </c>
      <c r="AH30" s="32">
        <f t="shared" si="79"/>
        <v>2982.0000000000009</v>
      </c>
      <c r="AI30" s="32">
        <f t="shared" si="79"/>
        <v>3195.0000000000005</v>
      </c>
      <c r="AJ30" s="32">
        <f t="shared" si="79"/>
        <v>3408.0000000000005</v>
      </c>
      <c r="AK30" s="32">
        <f t="shared" si="79"/>
        <v>3408.0000000000005</v>
      </c>
      <c r="AL30" s="32">
        <f t="shared" si="79"/>
        <v>3621.0000000000005</v>
      </c>
    </row>
    <row r="31" spans="1:38" s="30" customFormat="1" x14ac:dyDescent="0.25">
      <c r="A31" s="31" t="s">
        <v>34</v>
      </c>
      <c r="B31" s="32">
        <v>1997</v>
      </c>
      <c r="E31" s="32">
        <f>E29*($B$32)*$B$29*$B$31</f>
        <v>33949</v>
      </c>
      <c r="F31" s="32">
        <f t="shared" ref="F31:Z31" si="80">F29*($B$32)*$B$29*$B$31</f>
        <v>33949</v>
      </c>
      <c r="G31" s="32">
        <f t="shared" si="80"/>
        <v>33949</v>
      </c>
      <c r="H31" s="32">
        <f t="shared" si="80"/>
        <v>33949</v>
      </c>
      <c r="I31" s="32">
        <f t="shared" si="80"/>
        <v>42436.25</v>
      </c>
      <c r="J31" s="32">
        <f t="shared" si="80"/>
        <v>42436.25</v>
      </c>
      <c r="K31" s="32">
        <f t="shared" si="80"/>
        <v>42436.25</v>
      </c>
      <c r="L31" s="32">
        <f t="shared" si="80"/>
        <v>42436.25</v>
      </c>
      <c r="M31" s="32">
        <f t="shared" si="80"/>
        <v>42436.25</v>
      </c>
      <c r="N31" s="32">
        <f t="shared" si="80"/>
        <v>42436.25</v>
      </c>
      <c r="O31" s="32">
        <f t="shared" si="80"/>
        <v>42436.25</v>
      </c>
      <c r="P31" s="32">
        <f t="shared" si="80"/>
        <v>50923.5</v>
      </c>
      <c r="Q31" s="32">
        <f t="shared" si="80"/>
        <v>50923.5</v>
      </c>
      <c r="R31" s="32">
        <f t="shared" si="80"/>
        <v>50923.5</v>
      </c>
      <c r="S31" s="32">
        <f t="shared" si="80"/>
        <v>50923.5</v>
      </c>
      <c r="T31" s="32">
        <f t="shared" si="80"/>
        <v>50923.5</v>
      </c>
      <c r="U31" s="32">
        <f t="shared" si="80"/>
        <v>59410.75</v>
      </c>
      <c r="V31" s="32">
        <f t="shared" si="80"/>
        <v>59410.75</v>
      </c>
      <c r="W31" s="32">
        <f t="shared" si="80"/>
        <v>59410.75</v>
      </c>
      <c r="X31" s="32">
        <f t="shared" si="80"/>
        <v>67898</v>
      </c>
      <c r="Y31" s="32">
        <f t="shared" si="80"/>
        <v>67898</v>
      </c>
      <c r="Z31" s="32">
        <f t="shared" si="80"/>
        <v>76385.25</v>
      </c>
      <c r="AA31" s="32">
        <f t="shared" ref="AA31:AL31" si="81">AA29*($B$32)*$B$29*$B$31</f>
        <v>84872.5</v>
      </c>
      <c r="AB31" s="32">
        <f t="shared" si="81"/>
        <v>84872.5</v>
      </c>
      <c r="AC31" s="32">
        <f t="shared" si="81"/>
        <v>93359.75</v>
      </c>
      <c r="AD31" s="32">
        <f t="shared" si="81"/>
        <v>101847</v>
      </c>
      <c r="AE31" s="32">
        <f t="shared" si="81"/>
        <v>101847</v>
      </c>
      <c r="AF31" s="32">
        <f t="shared" si="81"/>
        <v>110334.24999999999</v>
      </c>
      <c r="AG31" s="32">
        <f t="shared" si="81"/>
        <v>118821.5</v>
      </c>
      <c r="AH31" s="32">
        <f t="shared" si="81"/>
        <v>118821.5</v>
      </c>
      <c r="AI31" s="32">
        <f t="shared" si="81"/>
        <v>127308.75</v>
      </c>
      <c r="AJ31" s="32">
        <f t="shared" si="81"/>
        <v>135796</v>
      </c>
      <c r="AK31" s="32">
        <f t="shared" si="81"/>
        <v>135796</v>
      </c>
      <c r="AL31" s="32">
        <f t="shared" si="81"/>
        <v>144283.25</v>
      </c>
    </row>
    <row r="32" spans="1:38" s="30" customFormat="1" x14ac:dyDescent="0.25">
      <c r="A32" s="35" t="s">
        <v>35</v>
      </c>
      <c r="B32" s="33">
        <v>0.85</v>
      </c>
    </row>
    <row r="33" spans="1:38" s="30" customFormat="1" x14ac:dyDescent="0.25">
      <c r="A33" s="31" t="s">
        <v>41</v>
      </c>
      <c r="B33" s="30">
        <v>0.6</v>
      </c>
      <c r="J33" s="34">
        <f>$B$33*(E30+E31)</f>
        <v>20880.599999999999</v>
      </c>
      <c r="K33" s="34">
        <f t="shared" ref="K33:Z33" si="82">$B$33*(F30+F31)</f>
        <v>20880.599999999999</v>
      </c>
      <c r="L33" s="34">
        <f t="shared" si="82"/>
        <v>20880.599999999999</v>
      </c>
      <c r="M33" s="34">
        <f t="shared" si="82"/>
        <v>20880.599999999999</v>
      </c>
      <c r="N33" s="34">
        <f t="shared" si="82"/>
        <v>26100.75</v>
      </c>
      <c r="O33" s="34">
        <f t="shared" si="82"/>
        <v>26100.75</v>
      </c>
      <c r="P33" s="34">
        <f t="shared" si="82"/>
        <v>26100.75</v>
      </c>
      <c r="Q33" s="34">
        <f t="shared" si="82"/>
        <v>26100.75</v>
      </c>
      <c r="R33" s="34">
        <f t="shared" si="82"/>
        <v>26100.75</v>
      </c>
      <c r="S33" s="34">
        <f t="shared" si="82"/>
        <v>26100.75</v>
      </c>
      <c r="T33" s="34">
        <f t="shared" si="82"/>
        <v>26100.75</v>
      </c>
      <c r="U33" s="34">
        <f t="shared" si="82"/>
        <v>31320.899999999998</v>
      </c>
      <c r="V33" s="34">
        <f t="shared" si="82"/>
        <v>31320.899999999998</v>
      </c>
      <c r="W33" s="34">
        <f t="shared" si="82"/>
        <v>31320.899999999998</v>
      </c>
      <c r="X33" s="34">
        <f t="shared" si="82"/>
        <v>31320.899999999998</v>
      </c>
      <c r="Y33" s="34">
        <f t="shared" si="82"/>
        <v>31320.899999999998</v>
      </c>
      <c r="Z33" s="34">
        <f t="shared" si="82"/>
        <v>36541.049999999996</v>
      </c>
      <c r="AA33" s="34">
        <f t="shared" ref="AA33" si="83">$B$33*(V30+V31)</f>
        <v>36541.049999999996</v>
      </c>
      <c r="AB33" s="34">
        <f t="shared" ref="AB33" si="84">$B$33*(W30+W31)</f>
        <v>36541.049999999996</v>
      </c>
      <c r="AC33" s="34">
        <f t="shared" ref="AC33" si="85">$B$33*(X30+X31)</f>
        <v>41761.199999999997</v>
      </c>
      <c r="AD33" s="34">
        <f t="shared" ref="AD33" si="86">$B$33*(Y30+Y31)</f>
        <v>41761.199999999997</v>
      </c>
      <c r="AE33" s="34">
        <f t="shared" ref="AE33" si="87">$B$33*(Z30+Z31)</f>
        <v>46981.35</v>
      </c>
      <c r="AF33" s="34">
        <f t="shared" ref="AF33" si="88">$B$33*(AA30+AA31)</f>
        <v>52201.5</v>
      </c>
      <c r="AG33" s="34">
        <f t="shared" ref="AG33" si="89">$B$33*(AB30+AB31)</f>
        <v>52201.5</v>
      </c>
      <c r="AH33" s="34">
        <f t="shared" ref="AH33" si="90">$B$33*(AC30+AC31)</f>
        <v>57421.65</v>
      </c>
      <c r="AI33" s="34">
        <f t="shared" ref="AI33" si="91">$B$33*(AD30+AD31)</f>
        <v>62641.799999999996</v>
      </c>
      <c r="AJ33" s="34">
        <f t="shared" ref="AJ33" si="92">$B$33*(AE30+AE31)</f>
        <v>62641.799999999996</v>
      </c>
      <c r="AK33" s="34">
        <f t="shared" ref="AK33" si="93">$B$33*(AF30+AF31)</f>
        <v>67861.949999999983</v>
      </c>
      <c r="AL33" s="34">
        <f t="shared" ref="AL33" si="94">$B$33*(AG30+AG31)</f>
        <v>73082.099999999991</v>
      </c>
    </row>
    <row r="34" spans="1:38" s="30" customFormat="1" x14ac:dyDescent="0.25">
      <c r="A34" s="31" t="s">
        <v>40</v>
      </c>
      <c r="B34" s="30">
        <v>0.1</v>
      </c>
      <c r="L34" s="34">
        <f>$B$34*(E30+E31)</f>
        <v>3480.1000000000004</v>
      </c>
      <c r="M34" s="34">
        <f t="shared" ref="M34:Z34" si="95">$B$34*(F30+F31)</f>
        <v>3480.1000000000004</v>
      </c>
      <c r="N34" s="34">
        <f t="shared" si="95"/>
        <v>3480.1000000000004</v>
      </c>
      <c r="O34" s="34">
        <f t="shared" si="95"/>
        <v>3480.1000000000004</v>
      </c>
      <c r="P34" s="34">
        <f t="shared" si="95"/>
        <v>4350.125</v>
      </c>
      <c r="Q34" s="34">
        <f t="shared" si="95"/>
        <v>4350.125</v>
      </c>
      <c r="R34" s="34">
        <f t="shared" si="95"/>
        <v>4350.125</v>
      </c>
      <c r="S34" s="34">
        <f t="shared" si="95"/>
        <v>4350.125</v>
      </c>
      <c r="T34" s="34">
        <f t="shared" si="95"/>
        <v>4350.125</v>
      </c>
      <c r="U34" s="34">
        <f t="shared" si="95"/>
        <v>4350.125</v>
      </c>
      <c r="V34" s="34">
        <f t="shared" si="95"/>
        <v>4350.125</v>
      </c>
      <c r="W34" s="34">
        <f t="shared" si="95"/>
        <v>5220.1500000000005</v>
      </c>
      <c r="X34" s="34">
        <f t="shared" si="95"/>
        <v>5220.1500000000005</v>
      </c>
      <c r="Y34" s="34">
        <f t="shared" si="95"/>
        <v>5220.1500000000005</v>
      </c>
      <c r="Z34" s="34">
        <f t="shared" si="95"/>
        <v>5220.1500000000005</v>
      </c>
      <c r="AA34" s="34">
        <f t="shared" ref="AA34" si="96">$B$34*(T30+T31)</f>
        <v>5220.1500000000005</v>
      </c>
      <c r="AB34" s="34">
        <f t="shared" ref="AB34" si="97">$B$34*(U30+U31)</f>
        <v>6090.1750000000002</v>
      </c>
      <c r="AC34" s="34">
        <f t="shared" ref="AC34" si="98">$B$34*(V30+V31)</f>
        <v>6090.1750000000002</v>
      </c>
      <c r="AD34" s="34">
        <f t="shared" ref="AD34" si="99">$B$34*(W30+W31)</f>
        <v>6090.1750000000002</v>
      </c>
      <c r="AE34" s="34">
        <f t="shared" ref="AE34" si="100">$B$34*(X30+X31)</f>
        <v>6960.2000000000007</v>
      </c>
      <c r="AF34" s="34">
        <f t="shared" ref="AF34" si="101">$B$34*(Y30+Y31)</f>
        <v>6960.2000000000007</v>
      </c>
      <c r="AG34" s="34">
        <f t="shared" ref="AG34" si="102">$B$34*(Z30+Z31)</f>
        <v>7830.2250000000004</v>
      </c>
      <c r="AH34" s="34">
        <f t="shared" ref="AH34" si="103">$B$34*(AA30+AA31)</f>
        <v>8700.25</v>
      </c>
      <c r="AI34" s="34">
        <f t="shared" ref="AI34" si="104">$B$34*(AB30+AB31)</f>
        <v>8700.25</v>
      </c>
      <c r="AJ34" s="34">
        <f t="shared" ref="AJ34" si="105">$B$34*(AC30+AC31)</f>
        <v>9570.2749999999996</v>
      </c>
      <c r="AK34" s="34">
        <f t="shared" ref="AK34" si="106">$B$34*(AD30+AD31)</f>
        <v>10440.300000000001</v>
      </c>
      <c r="AL34" s="34">
        <f t="shared" ref="AL34" si="107">$B$34*(AE30+AE31)</f>
        <v>10440.300000000001</v>
      </c>
    </row>
    <row r="35" spans="1:38" s="30" customFormat="1" x14ac:dyDescent="0.25">
      <c r="A35" s="31"/>
    </row>
    <row r="36" spans="1:38" s="30" customFormat="1" x14ac:dyDescent="0.25">
      <c r="A36" s="31" t="s">
        <v>64</v>
      </c>
      <c r="B36" s="30">
        <v>4</v>
      </c>
      <c r="E36" s="30">
        <f>6+(ROUNDUP(E23/4,0))</f>
        <v>6</v>
      </c>
      <c r="F36" s="30">
        <f t="shared" ref="F36:J36" si="108">6+(ROUNDUP(F23/4,0))</f>
        <v>6</v>
      </c>
      <c r="G36" s="30">
        <f t="shared" si="108"/>
        <v>6</v>
      </c>
      <c r="H36" s="30">
        <f t="shared" si="108"/>
        <v>6</v>
      </c>
      <c r="I36" s="30">
        <f t="shared" si="108"/>
        <v>7</v>
      </c>
      <c r="J36" s="30">
        <f t="shared" si="108"/>
        <v>7</v>
      </c>
      <c r="K36" s="30">
        <f>6+(ROUNDUP(K23/4,0))</f>
        <v>7</v>
      </c>
      <c r="L36" s="30">
        <f>6+(ROUNDUP(L23/4,0))</f>
        <v>7</v>
      </c>
      <c r="M36" s="30">
        <f t="shared" ref="M36:AL36" si="109">6+(ROUNDUP(M23/4,0))</f>
        <v>8</v>
      </c>
      <c r="N36" s="30">
        <f t="shared" si="109"/>
        <v>8</v>
      </c>
      <c r="O36" s="30">
        <f t="shared" si="109"/>
        <v>9</v>
      </c>
      <c r="P36" s="30">
        <f t="shared" si="109"/>
        <v>9</v>
      </c>
      <c r="Q36" s="30">
        <f t="shared" si="109"/>
        <v>10</v>
      </c>
      <c r="R36" s="30">
        <f t="shared" si="109"/>
        <v>10</v>
      </c>
      <c r="S36" s="30">
        <f t="shared" si="109"/>
        <v>11</v>
      </c>
      <c r="T36" s="30">
        <f t="shared" si="109"/>
        <v>11</v>
      </c>
      <c r="U36" s="30">
        <f t="shared" si="109"/>
        <v>11</v>
      </c>
      <c r="V36" s="30">
        <f t="shared" si="109"/>
        <v>11</v>
      </c>
      <c r="W36" s="30">
        <f t="shared" si="109"/>
        <v>12</v>
      </c>
      <c r="X36" s="30">
        <f t="shared" si="109"/>
        <v>12</v>
      </c>
      <c r="Y36" s="30">
        <f t="shared" si="109"/>
        <v>12</v>
      </c>
      <c r="Z36" s="30">
        <f t="shared" si="109"/>
        <v>12</v>
      </c>
      <c r="AA36" s="30">
        <f t="shared" si="109"/>
        <v>12</v>
      </c>
      <c r="AB36" s="30">
        <f t="shared" si="109"/>
        <v>13</v>
      </c>
      <c r="AC36" s="30">
        <f t="shared" si="109"/>
        <v>13</v>
      </c>
      <c r="AD36" s="30">
        <f t="shared" si="109"/>
        <v>13</v>
      </c>
      <c r="AE36" s="30">
        <f t="shared" si="109"/>
        <v>13</v>
      </c>
      <c r="AF36" s="30">
        <f t="shared" si="109"/>
        <v>13</v>
      </c>
      <c r="AG36" s="30">
        <f t="shared" si="109"/>
        <v>13</v>
      </c>
      <c r="AH36" s="30">
        <f t="shared" si="109"/>
        <v>14</v>
      </c>
      <c r="AI36" s="30">
        <f t="shared" si="109"/>
        <v>14</v>
      </c>
      <c r="AJ36" s="30">
        <f t="shared" si="109"/>
        <v>14</v>
      </c>
      <c r="AK36" s="30">
        <f t="shared" si="109"/>
        <v>14</v>
      </c>
      <c r="AL36" s="30">
        <f t="shared" si="109"/>
        <v>14</v>
      </c>
    </row>
    <row r="37" spans="1:38" s="30" customFormat="1" x14ac:dyDescent="0.25">
      <c r="A37" s="31" t="s">
        <v>33</v>
      </c>
      <c r="B37" s="32">
        <v>260</v>
      </c>
      <c r="E37" s="34">
        <f>E36*(1-$B$39)*$B$36*$B$37</f>
        <v>2745.5999999999995</v>
      </c>
      <c r="F37" s="34">
        <f t="shared" ref="F37:Z37" si="110">F36*(1-$B$39)*$B$36*$B$37</f>
        <v>2745.5999999999995</v>
      </c>
      <c r="G37" s="34">
        <f t="shared" si="110"/>
        <v>2745.5999999999995</v>
      </c>
      <c r="H37" s="34">
        <f t="shared" si="110"/>
        <v>2745.5999999999995</v>
      </c>
      <c r="I37" s="34">
        <f t="shared" si="110"/>
        <v>3203.2</v>
      </c>
      <c r="J37" s="34">
        <f t="shared" si="110"/>
        <v>3203.2</v>
      </c>
      <c r="K37" s="34">
        <f t="shared" si="110"/>
        <v>3203.2</v>
      </c>
      <c r="L37" s="34">
        <f t="shared" si="110"/>
        <v>3203.2</v>
      </c>
      <c r="M37" s="34">
        <f t="shared" si="110"/>
        <v>3660.7999999999997</v>
      </c>
      <c r="N37" s="34">
        <f t="shared" si="110"/>
        <v>3660.7999999999997</v>
      </c>
      <c r="O37" s="34">
        <f t="shared" si="110"/>
        <v>4118.3999999999996</v>
      </c>
      <c r="P37" s="34">
        <f t="shared" si="110"/>
        <v>4118.3999999999996</v>
      </c>
      <c r="Q37" s="34">
        <f t="shared" si="110"/>
        <v>4575.9999999999991</v>
      </c>
      <c r="R37" s="34">
        <f t="shared" si="110"/>
        <v>4575.9999999999991</v>
      </c>
      <c r="S37" s="34">
        <f t="shared" si="110"/>
        <v>5033.5999999999995</v>
      </c>
      <c r="T37" s="34">
        <f t="shared" si="110"/>
        <v>5033.5999999999995</v>
      </c>
      <c r="U37" s="34">
        <f t="shared" si="110"/>
        <v>5033.5999999999995</v>
      </c>
      <c r="V37" s="34">
        <f t="shared" si="110"/>
        <v>5033.5999999999995</v>
      </c>
      <c r="W37" s="34">
        <f t="shared" si="110"/>
        <v>5491.1999999999989</v>
      </c>
      <c r="X37" s="34">
        <f t="shared" si="110"/>
        <v>5491.1999999999989</v>
      </c>
      <c r="Y37" s="34">
        <f t="shared" si="110"/>
        <v>5491.1999999999989</v>
      </c>
      <c r="Z37" s="34">
        <f t="shared" si="110"/>
        <v>5491.1999999999989</v>
      </c>
      <c r="AA37" s="34">
        <f t="shared" ref="AA37:AL37" si="111">AA36*(1-$B$39)*$B$36*$B$37</f>
        <v>5491.1999999999989</v>
      </c>
      <c r="AB37" s="34">
        <f t="shared" si="111"/>
        <v>5948.7999999999993</v>
      </c>
      <c r="AC37" s="34">
        <f t="shared" si="111"/>
        <v>5948.7999999999993</v>
      </c>
      <c r="AD37" s="34">
        <f t="shared" si="111"/>
        <v>5948.7999999999993</v>
      </c>
      <c r="AE37" s="34">
        <f t="shared" si="111"/>
        <v>5948.7999999999993</v>
      </c>
      <c r="AF37" s="34">
        <f t="shared" si="111"/>
        <v>5948.7999999999993</v>
      </c>
      <c r="AG37" s="34">
        <f t="shared" si="111"/>
        <v>5948.7999999999993</v>
      </c>
      <c r="AH37" s="34">
        <f t="shared" si="111"/>
        <v>6406.4</v>
      </c>
      <c r="AI37" s="34">
        <f t="shared" si="111"/>
        <v>6406.4</v>
      </c>
      <c r="AJ37" s="34">
        <f t="shared" si="111"/>
        <v>6406.4</v>
      </c>
      <c r="AK37" s="34">
        <f t="shared" si="111"/>
        <v>6406.4</v>
      </c>
      <c r="AL37" s="34">
        <f t="shared" si="111"/>
        <v>6406.4</v>
      </c>
    </row>
    <row r="38" spans="1:38" s="30" customFormat="1" x14ac:dyDescent="0.25">
      <c r="A38" s="31" t="s">
        <v>34</v>
      </c>
      <c r="B38" s="32">
        <v>3186</v>
      </c>
      <c r="E38" s="34">
        <f>E36*($B$39)*$B$36*$B$38</f>
        <v>42819.840000000004</v>
      </c>
      <c r="F38" s="34">
        <f t="shared" ref="F38:Z38" si="112">F36*($B$39)*$B$36*$B$38</f>
        <v>42819.840000000004</v>
      </c>
      <c r="G38" s="34">
        <f t="shared" si="112"/>
        <v>42819.840000000004</v>
      </c>
      <c r="H38" s="34">
        <f t="shared" si="112"/>
        <v>42819.840000000004</v>
      </c>
      <c r="I38" s="34">
        <f t="shared" si="112"/>
        <v>49956.480000000003</v>
      </c>
      <c r="J38" s="34">
        <f t="shared" si="112"/>
        <v>49956.480000000003</v>
      </c>
      <c r="K38" s="34">
        <f t="shared" si="112"/>
        <v>49956.480000000003</v>
      </c>
      <c r="L38" s="34">
        <f t="shared" si="112"/>
        <v>49956.480000000003</v>
      </c>
      <c r="M38" s="34">
        <f t="shared" si="112"/>
        <v>57093.120000000003</v>
      </c>
      <c r="N38" s="34">
        <f t="shared" si="112"/>
        <v>57093.120000000003</v>
      </c>
      <c r="O38" s="34">
        <f t="shared" si="112"/>
        <v>64229.760000000009</v>
      </c>
      <c r="P38" s="34">
        <f t="shared" si="112"/>
        <v>64229.760000000009</v>
      </c>
      <c r="Q38" s="34">
        <f t="shared" si="112"/>
        <v>71366.400000000009</v>
      </c>
      <c r="R38" s="34">
        <f t="shared" si="112"/>
        <v>71366.400000000009</v>
      </c>
      <c r="S38" s="34">
        <f t="shared" si="112"/>
        <v>78503.040000000008</v>
      </c>
      <c r="T38" s="34">
        <f t="shared" si="112"/>
        <v>78503.040000000008</v>
      </c>
      <c r="U38" s="34">
        <f t="shared" si="112"/>
        <v>78503.040000000008</v>
      </c>
      <c r="V38" s="34">
        <f t="shared" si="112"/>
        <v>78503.040000000008</v>
      </c>
      <c r="W38" s="34">
        <f t="shared" si="112"/>
        <v>85639.680000000008</v>
      </c>
      <c r="X38" s="34">
        <f t="shared" si="112"/>
        <v>85639.680000000008</v>
      </c>
      <c r="Y38" s="34">
        <f t="shared" si="112"/>
        <v>85639.680000000008</v>
      </c>
      <c r="Z38" s="34">
        <f t="shared" si="112"/>
        <v>85639.680000000008</v>
      </c>
      <c r="AA38" s="34">
        <f t="shared" ref="AA38:AL38" si="113">AA36*($B$39)*$B$36*$B$38</f>
        <v>85639.680000000008</v>
      </c>
      <c r="AB38" s="34">
        <f t="shared" si="113"/>
        <v>92776.320000000022</v>
      </c>
      <c r="AC38" s="34">
        <f t="shared" si="113"/>
        <v>92776.320000000022</v>
      </c>
      <c r="AD38" s="34">
        <f t="shared" si="113"/>
        <v>92776.320000000022</v>
      </c>
      <c r="AE38" s="34">
        <f t="shared" si="113"/>
        <v>92776.320000000022</v>
      </c>
      <c r="AF38" s="34">
        <f t="shared" si="113"/>
        <v>92776.320000000022</v>
      </c>
      <c r="AG38" s="34">
        <f t="shared" si="113"/>
        <v>92776.320000000022</v>
      </c>
      <c r="AH38" s="34">
        <f t="shared" si="113"/>
        <v>99912.960000000006</v>
      </c>
      <c r="AI38" s="34">
        <f t="shared" si="113"/>
        <v>99912.960000000006</v>
      </c>
      <c r="AJ38" s="34">
        <f t="shared" si="113"/>
        <v>99912.960000000006</v>
      </c>
      <c r="AK38" s="34">
        <f t="shared" si="113"/>
        <v>99912.960000000006</v>
      </c>
      <c r="AL38" s="34">
        <f t="shared" si="113"/>
        <v>99912.960000000006</v>
      </c>
    </row>
    <row r="39" spans="1:38" s="30" customFormat="1" x14ac:dyDescent="0.25">
      <c r="A39" s="35" t="s">
        <v>35</v>
      </c>
      <c r="B39" s="33">
        <v>0.56000000000000005</v>
      </c>
    </row>
    <row r="40" spans="1:38" s="30" customFormat="1" x14ac:dyDescent="0.25">
      <c r="A40" s="31" t="s">
        <v>41</v>
      </c>
      <c r="B40" s="30">
        <v>0.6</v>
      </c>
      <c r="J40" s="34">
        <f>$B$40*(E37+E38)</f>
        <v>27339.263999999999</v>
      </c>
      <c r="K40" s="34">
        <f t="shared" ref="K40:Z40" si="114">$B$40*(F37+F38)</f>
        <v>27339.263999999999</v>
      </c>
      <c r="L40" s="34">
        <f t="shared" si="114"/>
        <v>27339.263999999999</v>
      </c>
      <c r="M40" s="34">
        <f t="shared" si="114"/>
        <v>27339.263999999999</v>
      </c>
      <c r="N40" s="34">
        <f t="shared" si="114"/>
        <v>31895.807999999997</v>
      </c>
      <c r="O40" s="34">
        <f t="shared" si="114"/>
        <v>31895.807999999997</v>
      </c>
      <c r="P40" s="34">
        <f t="shared" si="114"/>
        <v>31895.807999999997</v>
      </c>
      <c r="Q40" s="34">
        <f t="shared" si="114"/>
        <v>31895.807999999997</v>
      </c>
      <c r="R40" s="34">
        <f t="shared" si="114"/>
        <v>36452.351999999999</v>
      </c>
      <c r="S40" s="34">
        <f t="shared" si="114"/>
        <v>36452.351999999999</v>
      </c>
      <c r="T40" s="34">
        <f t="shared" si="114"/>
        <v>41008.896000000001</v>
      </c>
      <c r="U40" s="34">
        <f t="shared" si="114"/>
        <v>41008.896000000001</v>
      </c>
      <c r="V40" s="34">
        <f t="shared" si="114"/>
        <v>45565.440000000002</v>
      </c>
      <c r="W40" s="34">
        <f t="shared" si="114"/>
        <v>45565.440000000002</v>
      </c>
      <c r="X40" s="34">
        <f t="shared" si="114"/>
        <v>50121.984000000004</v>
      </c>
      <c r="Y40" s="34">
        <f t="shared" si="114"/>
        <v>50121.984000000004</v>
      </c>
      <c r="Z40" s="34">
        <f t="shared" si="114"/>
        <v>50121.984000000004</v>
      </c>
      <c r="AA40" s="34">
        <f t="shared" ref="AA40" si="115">$B$40*(V37+V38)</f>
        <v>50121.984000000004</v>
      </c>
      <c r="AB40" s="34">
        <f t="shared" ref="AB40" si="116">$B$40*(W37+W38)</f>
        <v>54678.527999999998</v>
      </c>
      <c r="AC40" s="34">
        <f t="shared" ref="AC40" si="117">$B$40*(X37+X38)</f>
        <v>54678.527999999998</v>
      </c>
      <c r="AD40" s="34">
        <f t="shared" ref="AD40" si="118">$B$40*(Y37+Y38)</f>
        <v>54678.527999999998</v>
      </c>
      <c r="AE40" s="34">
        <f t="shared" ref="AE40" si="119">$B$40*(Z37+Z38)</f>
        <v>54678.527999999998</v>
      </c>
      <c r="AF40" s="34">
        <f t="shared" ref="AF40" si="120">$B$40*(AA37+AA38)</f>
        <v>54678.527999999998</v>
      </c>
      <c r="AG40" s="34">
        <f t="shared" ref="AG40" si="121">$B$40*(AB37+AB38)</f>
        <v>59235.072000000015</v>
      </c>
      <c r="AH40" s="34">
        <f t="shared" ref="AH40" si="122">$B$40*(AC37+AC38)</f>
        <v>59235.072000000015</v>
      </c>
      <c r="AI40" s="34">
        <f t="shared" ref="AI40" si="123">$B$40*(AD37+AD38)</f>
        <v>59235.072000000015</v>
      </c>
      <c r="AJ40" s="34">
        <f t="shared" ref="AJ40" si="124">$B$40*(AE37+AE38)</f>
        <v>59235.072000000015</v>
      </c>
      <c r="AK40" s="34">
        <f t="shared" ref="AK40" si="125">$B$40*(AF37+AF38)</f>
        <v>59235.072000000015</v>
      </c>
      <c r="AL40" s="34">
        <f t="shared" ref="AL40" si="126">$B$40*(AG37+AG38)</f>
        <v>59235.072000000015</v>
      </c>
    </row>
    <row r="41" spans="1:38" s="30" customFormat="1" x14ac:dyDescent="0.25">
      <c r="A41" s="31" t="s">
        <v>40</v>
      </c>
      <c r="B41" s="30">
        <v>0.1</v>
      </c>
      <c r="L41" s="34">
        <f>$B$41*(E37+E38)</f>
        <v>4556.5440000000008</v>
      </c>
      <c r="M41" s="34">
        <f t="shared" ref="M41:Z41" si="127">$B$41*(F37+F38)</f>
        <v>4556.5440000000008</v>
      </c>
      <c r="N41" s="34">
        <f t="shared" si="127"/>
        <v>4556.5440000000008</v>
      </c>
      <c r="O41" s="34">
        <f t="shared" si="127"/>
        <v>4556.5440000000008</v>
      </c>
      <c r="P41" s="34">
        <f t="shared" si="127"/>
        <v>5315.9680000000008</v>
      </c>
      <c r="Q41" s="34">
        <f t="shared" si="127"/>
        <v>5315.9680000000008</v>
      </c>
      <c r="R41" s="34">
        <f t="shared" si="127"/>
        <v>5315.9680000000008</v>
      </c>
      <c r="S41" s="34">
        <f t="shared" si="127"/>
        <v>5315.9680000000008</v>
      </c>
      <c r="T41" s="34">
        <f t="shared" si="127"/>
        <v>6075.3920000000007</v>
      </c>
      <c r="U41" s="34">
        <f t="shared" si="127"/>
        <v>6075.3920000000007</v>
      </c>
      <c r="V41" s="34">
        <f t="shared" si="127"/>
        <v>6834.8160000000007</v>
      </c>
      <c r="W41" s="34">
        <f t="shared" si="127"/>
        <v>6834.8160000000007</v>
      </c>
      <c r="X41" s="34">
        <f t="shared" si="127"/>
        <v>7594.2400000000016</v>
      </c>
      <c r="Y41" s="34">
        <f t="shared" si="127"/>
        <v>7594.2400000000016</v>
      </c>
      <c r="Z41" s="34">
        <f t="shared" si="127"/>
        <v>8353.6640000000025</v>
      </c>
      <c r="AA41" s="34">
        <f t="shared" ref="AA41" si="128">$B$41*(T37+T38)</f>
        <v>8353.6640000000025</v>
      </c>
      <c r="AB41" s="34">
        <f t="shared" ref="AB41" si="129">$B$41*(U37+U38)</f>
        <v>8353.6640000000025</v>
      </c>
      <c r="AC41" s="34">
        <f t="shared" ref="AC41" si="130">$B$41*(V37+V38)</f>
        <v>8353.6640000000025</v>
      </c>
      <c r="AD41" s="34">
        <f t="shared" ref="AD41" si="131">$B$41*(W37+W38)</f>
        <v>9113.0880000000016</v>
      </c>
      <c r="AE41" s="34">
        <f t="shared" ref="AE41" si="132">$B$41*(X37+X38)</f>
        <v>9113.0880000000016</v>
      </c>
      <c r="AF41" s="34">
        <f t="shared" ref="AF41" si="133">$B$41*(Y37+Y38)</f>
        <v>9113.0880000000016</v>
      </c>
      <c r="AG41" s="34">
        <f t="shared" ref="AG41" si="134">$B$41*(Z37+Z38)</f>
        <v>9113.0880000000016</v>
      </c>
      <c r="AH41" s="34">
        <f t="shared" ref="AH41" si="135">$B$41*(AA37+AA38)</f>
        <v>9113.0880000000016</v>
      </c>
      <c r="AI41" s="34">
        <f t="shared" ref="AI41" si="136">$B$41*(AB37+AB38)</f>
        <v>9872.5120000000024</v>
      </c>
      <c r="AJ41" s="34">
        <f t="shared" ref="AJ41" si="137">$B$41*(AC37+AC38)</f>
        <v>9872.5120000000024</v>
      </c>
      <c r="AK41" s="34">
        <f t="shared" ref="AK41" si="138">$B$41*(AD37+AD38)</f>
        <v>9872.5120000000024</v>
      </c>
      <c r="AL41" s="34">
        <f t="shared" ref="AL41" si="139">$B$41*(AE37+AE38)</f>
        <v>9872.5120000000024</v>
      </c>
    </row>
    <row r="42" spans="1:38" s="30" customFormat="1" x14ac:dyDescent="0.25"/>
    <row r="43" spans="1:38" ht="15.75" x14ac:dyDescent="0.25">
      <c r="A43" t="s">
        <v>31</v>
      </c>
      <c r="C43">
        <v>26</v>
      </c>
      <c r="D43">
        <v>25</v>
      </c>
      <c r="E43">
        <v>26</v>
      </c>
      <c r="F43">
        <v>26</v>
      </c>
      <c r="G43" s="26">
        <v>25</v>
      </c>
      <c r="H43" s="25">
        <v>26</v>
      </c>
      <c r="I43" s="25">
        <v>26</v>
      </c>
      <c r="J43" s="25">
        <v>26</v>
      </c>
      <c r="K43" s="25">
        <v>25</v>
      </c>
      <c r="L43" s="25">
        <v>27</v>
      </c>
      <c r="M43" s="25">
        <v>23</v>
      </c>
      <c r="N43" s="25">
        <v>26</v>
      </c>
      <c r="O43" s="25">
        <v>25</v>
      </c>
      <c r="P43" s="25">
        <v>24</v>
      </c>
      <c r="Q43" s="25">
        <v>27</v>
      </c>
      <c r="R43" s="25">
        <v>26</v>
      </c>
      <c r="S43" s="25">
        <v>25</v>
      </c>
      <c r="T43" s="25">
        <v>26</v>
      </c>
      <c r="U43" s="25">
        <v>26</v>
      </c>
      <c r="V43" s="25">
        <v>26</v>
      </c>
      <c r="W43" s="25">
        <v>25</v>
      </c>
      <c r="X43" s="25">
        <v>26</v>
      </c>
      <c r="Y43" s="25">
        <v>24</v>
      </c>
      <c r="Z43" s="25">
        <v>25</v>
      </c>
      <c r="AA43" s="25">
        <v>24</v>
      </c>
      <c r="AB43" s="25">
        <v>24</v>
      </c>
      <c r="AC43" s="25">
        <v>27</v>
      </c>
      <c r="AD43" s="25">
        <v>26</v>
      </c>
      <c r="AE43" s="25">
        <v>25</v>
      </c>
      <c r="AF43" s="25">
        <v>26</v>
      </c>
      <c r="AG43" s="25">
        <v>25</v>
      </c>
      <c r="AH43" s="25">
        <v>27</v>
      </c>
      <c r="AI43" s="25">
        <v>25</v>
      </c>
      <c r="AJ43" s="25">
        <v>26</v>
      </c>
      <c r="AK43" s="25">
        <v>24</v>
      </c>
      <c r="AL43" s="25">
        <v>25</v>
      </c>
    </row>
    <row r="45" spans="1:38" s="15" customFormat="1" x14ac:dyDescent="0.25">
      <c r="A45" s="15" t="s">
        <v>16</v>
      </c>
      <c r="H45" s="15">
        <v>28000</v>
      </c>
      <c r="I45" s="15">
        <v>28000</v>
      </c>
      <c r="J45" s="15">
        <v>28000</v>
      </c>
      <c r="K45" s="15">
        <v>28000</v>
      </c>
      <c r="L45" s="15">
        <v>28000</v>
      </c>
      <c r="M45" s="15">
        <v>28000</v>
      </c>
      <c r="N45" s="15">
        <v>28000</v>
      </c>
      <c r="O45" s="15">
        <v>28000</v>
      </c>
      <c r="P45" s="15">
        <v>28000</v>
      </c>
      <c r="Q45" s="15">
        <v>28000</v>
      </c>
      <c r="R45" s="15">
        <v>28000</v>
      </c>
      <c r="S45" s="15">
        <v>28000</v>
      </c>
      <c r="T45" s="15">
        <v>28000</v>
      </c>
      <c r="U45" s="15">
        <v>28000</v>
      </c>
      <c r="V45" s="15">
        <v>28000</v>
      </c>
      <c r="W45" s="15">
        <v>28000</v>
      </c>
      <c r="X45" s="15">
        <v>28000</v>
      </c>
      <c r="Y45" s="15">
        <v>28000</v>
      </c>
      <c r="Z45" s="15">
        <v>28000</v>
      </c>
      <c r="AA45" s="15">
        <v>28000</v>
      </c>
      <c r="AB45" s="15">
        <v>28000</v>
      </c>
      <c r="AC45" s="15">
        <v>28000</v>
      </c>
      <c r="AD45" s="15">
        <v>28000</v>
      </c>
      <c r="AE45" s="15">
        <v>28000</v>
      </c>
      <c r="AF45" s="15">
        <v>28000</v>
      </c>
      <c r="AG45" s="15">
        <v>28000</v>
      </c>
      <c r="AH45" s="15">
        <v>28000</v>
      </c>
      <c r="AI45" s="15">
        <v>28000</v>
      </c>
      <c r="AJ45" s="15">
        <v>28000</v>
      </c>
      <c r="AK45" s="15">
        <v>28000</v>
      </c>
      <c r="AL45" s="15">
        <v>28000</v>
      </c>
    </row>
    <row r="46" spans="1:38" s="15" customFormat="1" x14ac:dyDescent="0.25">
      <c r="A46" s="16" t="s">
        <v>2</v>
      </c>
      <c r="B46" s="15">
        <v>280000</v>
      </c>
    </row>
    <row r="47" spans="1:38" s="15" customFormat="1" x14ac:dyDescent="0.25">
      <c r="A47" s="16" t="s">
        <v>1</v>
      </c>
      <c r="B47" s="17">
        <v>0.2</v>
      </c>
    </row>
    <row r="48" spans="1:38" s="15" customFormat="1" x14ac:dyDescent="0.25">
      <c r="A48" s="16" t="s">
        <v>3</v>
      </c>
      <c r="B48" s="15">
        <f>(B46+(B46*B47))/12</f>
        <v>28000</v>
      </c>
    </row>
    <row r="49" spans="1:38" s="15" customFormat="1" x14ac:dyDescent="0.25">
      <c r="A49" s="16" t="s">
        <v>15</v>
      </c>
      <c r="B49" s="15">
        <v>20000</v>
      </c>
      <c r="K49" s="15">
        <v>20000</v>
      </c>
      <c r="N49" s="15">
        <v>20000</v>
      </c>
      <c r="Q49" s="15">
        <v>20000</v>
      </c>
      <c r="T49" s="15">
        <v>20000</v>
      </c>
      <c r="W49" s="15">
        <v>20000</v>
      </c>
      <c r="Z49" s="15">
        <v>20000</v>
      </c>
      <c r="AC49" s="15">
        <v>20000</v>
      </c>
      <c r="AF49" s="15">
        <v>20000</v>
      </c>
      <c r="AI49" s="15">
        <v>20000</v>
      </c>
      <c r="AL49" s="15">
        <v>20000</v>
      </c>
    </row>
    <row r="50" spans="1:38" s="15" customFormat="1" x14ac:dyDescent="0.25">
      <c r="A50" s="16" t="s">
        <v>19</v>
      </c>
      <c r="B50" s="15">
        <v>10000</v>
      </c>
      <c r="T50" s="15">
        <v>10000</v>
      </c>
    </row>
    <row r="51" spans="1:38" s="15" customFormat="1" x14ac:dyDescent="0.25">
      <c r="A51" s="16" t="s">
        <v>32</v>
      </c>
      <c r="B51" s="15">
        <v>5.92</v>
      </c>
      <c r="H51" s="15">
        <f t="shared" ref="H51:AL51" si="140">H$43*$B51</f>
        <v>153.91999999999999</v>
      </c>
      <c r="I51" s="15">
        <f t="shared" si="140"/>
        <v>153.91999999999999</v>
      </c>
      <c r="J51" s="15">
        <f t="shared" si="140"/>
        <v>153.91999999999999</v>
      </c>
      <c r="K51" s="15">
        <f t="shared" si="140"/>
        <v>148</v>
      </c>
      <c r="L51" s="15">
        <f t="shared" si="140"/>
        <v>159.84</v>
      </c>
      <c r="M51" s="15">
        <f t="shared" si="140"/>
        <v>136.16</v>
      </c>
      <c r="N51" s="15">
        <f t="shared" si="140"/>
        <v>153.91999999999999</v>
      </c>
      <c r="O51" s="15">
        <f t="shared" si="140"/>
        <v>148</v>
      </c>
      <c r="P51" s="15">
        <f t="shared" si="140"/>
        <v>142.07999999999998</v>
      </c>
      <c r="Q51" s="15">
        <f t="shared" si="140"/>
        <v>159.84</v>
      </c>
      <c r="R51" s="15">
        <f t="shared" si="140"/>
        <v>153.91999999999999</v>
      </c>
      <c r="S51" s="15">
        <f t="shared" si="140"/>
        <v>148</v>
      </c>
      <c r="T51" s="15">
        <f t="shared" si="140"/>
        <v>153.91999999999999</v>
      </c>
      <c r="U51" s="15">
        <f t="shared" si="140"/>
        <v>153.91999999999999</v>
      </c>
      <c r="V51" s="15">
        <f t="shared" si="140"/>
        <v>153.91999999999999</v>
      </c>
      <c r="W51" s="15">
        <f t="shared" si="140"/>
        <v>148</v>
      </c>
      <c r="X51" s="15">
        <f t="shared" si="140"/>
        <v>153.91999999999999</v>
      </c>
      <c r="Y51" s="15">
        <f t="shared" si="140"/>
        <v>142.07999999999998</v>
      </c>
      <c r="Z51" s="15">
        <f t="shared" si="140"/>
        <v>148</v>
      </c>
      <c r="AA51" s="15">
        <f t="shared" si="140"/>
        <v>142.07999999999998</v>
      </c>
      <c r="AB51" s="15">
        <f t="shared" si="140"/>
        <v>142.07999999999998</v>
      </c>
      <c r="AC51" s="15">
        <f t="shared" si="140"/>
        <v>159.84</v>
      </c>
      <c r="AD51" s="15">
        <f t="shared" si="140"/>
        <v>153.91999999999999</v>
      </c>
      <c r="AE51" s="15">
        <f t="shared" si="140"/>
        <v>148</v>
      </c>
      <c r="AF51" s="15">
        <f t="shared" si="140"/>
        <v>153.91999999999999</v>
      </c>
      <c r="AG51" s="15">
        <f t="shared" si="140"/>
        <v>148</v>
      </c>
      <c r="AH51" s="15">
        <f t="shared" si="140"/>
        <v>159.84</v>
      </c>
      <c r="AI51" s="15">
        <f t="shared" si="140"/>
        <v>148</v>
      </c>
      <c r="AJ51" s="15">
        <f t="shared" si="140"/>
        <v>153.91999999999999</v>
      </c>
      <c r="AK51" s="15">
        <f t="shared" si="140"/>
        <v>142.07999999999998</v>
      </c>
      <c r="AL51" s="15">
        <f t="shared" si="140"/>
        <v>148</v>
      </c>
    </row>
    <row r="52" spans="1:38" s="30" customFormat="1" x14ac:dyDescent="0.25">
      <c r="A52" s="31"/>
    </row>
    <row r="53" spans="1:38" s="15" customFormat="1" x14ac:dyDescent="0.25">
      <c r="A53" s="15" t="s">
        <v>16</v>
      </c>
      <c r="Q53" s="15">
        <v>28000</v>
      </c>
      <c r="R53" s="15">
        <v>28000</v>
      </c>
      <c r="S53" s="15">
        <v>28000</v>
      </c>
      <c r="T53" s="15">
        <v>28000</v>
      </c>
      <c r="U53" s="15">
        <v>28000</v>
      </c>
      <c r="V53" s="15">
        <v>28000</v>
      </c>
      <c r="W53" s="15">
        <v>28000</v>
      </c>
      <c r="X53" s="15">
        <v>28000</v>
      </c>
      <c r="Y53" s="15">
        <v>28000</v>
      </c>
      <c r="Z53" s="15">
        <v>28000</v>
      </c>
      <c r="AA53" s="15">
        <v>28000</v>
      </c>
      <c r="AB53" s="15">
        <v>28000</v>
      </c>
      <c r="AC53" s="15">
        <v>28000</v>
      </c>
      <c r="AD53" s="15">
        <v>28000</v>
      </c>
      <c r="AE53" s="15">
        <v>28000</v>
      </c>
      <c r="AF53" s="15">
        <v>28000</v>
      </c>
      <c r="AG53" s="15">
        <v>28000</v>
      </c>
      <c r="AH53" s="15">
        <v>28000</v>
      </c>
      <c r="AI53" s="15">
        <v>28000</v>
      </c>
      <c r="AJ53" s="15">
        <v>28000</v>
      </c>
      <c r="AK53" s="15">
        <v>28000</v>
      </c>
      <c r="AL53" s="15">
        <v>28000</v>
      </c>
    </row>
    <row r="54" spans="1:38" s="15" customFormat="1" x14ac:dyDescent="0.25">
      <c r="A54" s="16" t="s">
        <v>2</v>
      </c>
      <c r="B54" s="15">
        <v>280000</v>
      </c>
    </row>
    <row r="55" spans="1:38" s="15" customFormat="1" x14ac:dyDescent="0.25">
      <c r="A55" s="16" t="s">
        <v>1</v>
      </c>
      <c r="B55" s="17">
        <v>0.2</v>
      </c>
    </row>
    <row r="56" spans="1:38" s="15" customFormat="1" x14ac:dyDescent="0.25">
      <c r="A56" s="16" t="s">
        <v>3</v>
      </c>
      <c r="B56" s="15">
        <f>(B54+(B54*B55))/12</f>
        <v>28000</v>
      </c>
    </row>
    <row r="57" spans="1:38" s="15" customFormat="1" x14ac:dyDescent="0.25">
      <c r="A57" s="16" t="s">
        <v>15</v>
      </c>
      <c r="B57" s="15">
        <v>20000</v>
      </c>
      <c r="T57" s="15">
        <v>20000</v>
      </c>
      <c r="W57" s="15">
        <v>20000</v>
      </c>
      <c r="Z57" s="15">
        <v>20000</v>
      </c>
      <c r="AC57" s="15">
        <v>20000</v>
      </c>
      <c r="AF57" s="15">
        <v>20000</v>
      </c>
      <c r="AI57" s="15">
        <v>20000</v>
      </c>
      <c r="AL57" s="15">
        <v>20000</v>
      </c>
    </row>
    <row r="58" spans="1:38" s="15" customFormat="1" x14ac:dyDescent="0.25">
      <c r="A58" s="16" t="s">
        <v>19</v>
      </c>
      <c r="B58" s="15">
        <v>10000</v>
      </c>
    </row>
    <row r="59" spans="1:38" s="15" customFormat="1" x14ac:dyDescent="0.25">
      <c r="A59" s="16" t="s">
        <v>32</v>
      </c>
      <c r="B59" s="15">
        <v>5.92</v>
      </c>
      <c r="Q59" s="15">
        <f t="shared" ref="Q59:AL59" si="141">Q$43*$B59</f>
        <v>159.84</v>
      </c>
      <c r="R59" s="15">
        <f t="shared" si="141"/>
        <v>153.91999999999999</v>
      </c>
      <c r="S59" s="15">
        <f t="shared" si="141"/>
        <v>148</v>
      </c>
      <c r="T59" s="15">
        <f t="shared" si="141"/>
        <v>153.91999999999999</v>
      </c>
      <c r="U59" s="15">
        <f t="shared" si="141"/>
        <v>153.91999999999999</v>
      </c>
      <c r="V59" s="15">
        <f t="shared" si="141"/>
        <v>153.91999999999999</v>
      </c>
      <c r="W59" s="15">
        <f t="shared" si="141"/>
        <v>148</v>
      </c>
      <c r="X59" s="15">
        <f t="shared" si="141"/>
        <v>153.91999999999999</v>
      </c>
      <c r="Y59" s="15">
        <f t="shared" si="141"/>
        <v>142.07999999999998</v>
      </c>
      <c r="Z59" s="15">
        <f t="shared" si="141"/>
        <v>148</v>
      </c>
      <c r="AA59" s="15">
        <f t="shared" si="141"/>
        <v>142.07999999999998</v>
      </c>
      <c r="AB59" s="15">
        <f t="shared" si="141"/>
        <v>142.07999999999998</v>
      </c>
      <c r="AC59" s="15">
        <f t="shared" si="141"/>
        <v>159.84</v>
      </c>
      <c r="AD59" s="15">
        <f t="shared" si="141"/>
        <v>153.91999999999999</v>
      </c>
      <c r="AE59" s="15">
        <f t="shared" si="141"/>
        <v>148</v>
      </c>
      <c r="AF59" s="15">
        <f t="shared" si="141"/>
        <v>153.91999999999999</v>
      </c>
      <c r="AG59" s="15">
        <f t="shared" si="141"/>
        <v>148</v>
      </c>
      <c r="AH59" s="15">
        <f t="shared" si="141"/>
        <v>159.84</v>
      </c>
      <c r="AI59" s="15">
        <f t="shared" si="141"/>
        <v>148</v>
      </c>
      <c r="AJ59" s="15">
        <f t="shared" si="141"/>
        <v>153.91999999999999</v>
      </c>
      <c r="AK59" s="15">
        <f t="shared" si="141"/>
        <v>142.07999999999998</v>
      </c>
      <c r="AL59" s="15">
        <f t="shared" si="141"/>
        <v>148</v>
      </c>
    </row>
    <row r="60" spans="1:38" s="30" customFormat="1" x14ac:dyDescent="0.25">
      <c r="A60" s="31"/>
    </row>
    <row r="61" spans="1:38" s="18" customFormat="1" x14ac:dyDescent="0.25">
      <c r="A61" s="18" t="s">
        <v>17</v>
      </c>
      <c r="H61" s="18">
        <v>12500</v>
      </c>
      <c r="I61" s="18">
        <v>12500</v>
      </c>
      <c r="J61" s="18">
        <v>12500</v>
      </c>
      <c r="K61" s="18">
        <v>12500</v>
      </c>
      <c r="L61" s="18">
        <v>12500</v>
      </c>
      <c r="M61" s="18">
        <v>12500</v>
      </c>
      <c r="N61" s="18">
        <v>12500</v>
      </c>
      <c r="O61" s="18">
        <v>12500</v>
      </c>
      <c r="P61" s="18">
        <v>12500</v>
      </c>
      <c r="Q61" s="18">
        <v>12500</v>
      </c>
      <c r="R61" s="18">
        <v>12500</v>
      </c>
      <c r="S61" s="18">
        <v>12500</v>
      </c>
      <c r="T61" s="18">
        <v>12500</v>
      </c>
      <c r="U61" s="18">
        <v>12500</v>
      </c>
      <c r="V61" s="18">
        <v>12500</v>
      </c>
      <c r="W61" s="18">
        <v>12500</v>
      </c>
      <c r="X61" s="18">
        <v>12500</v>
      </c>
      <c r="Y61" s="18">
        <v>12500</v>
      </c>
      <c r="Z61" s="18">
        <v>12500</v>
      </c>
      <c r="AA61" s="18">
        <v>12500</v>
      </c>
      <c r="AB61" s="18">
        <v>12500</v>
      </c>
      <c r="AC61" s="18">
        <v>12500</v>
      </c>
      <c r="AD61" s="18">
        <v>12500</v>
      </c>
      <c r="AE61" s="18">
        <v>12500</v>
      </c>
      <c r="AF61" s="18">
        <v>12500</v>
      </c>
      <c r="AG61" s="18">
        <v>12500</v>
      </c>
      <c r="AH61" s="18">
        <v>12500</v>
      </c>
      <c r="AI61" s="18">
        <v>12500</v>
      </c>
      <c r="AJ61" s="18">
        <v>12500</v>
      </c>
      <c r="AK61" s="18">
        <v>12500</v>
      </c>
      <c r="AL61" s="18">
        <v>12500</v>
      </c>
    </row>
    <row r="62" spans="1:38" s="18" customFormat="1" x14ac:dyDescent="0.25">
      <c r="A62" s="19" t="s">
        <v>2</v>
      </c>
      <c r="B62" s="18">
        <v>125000</v>
      </c>
    </row>
    <row r="63" spans="1:38" s="18" customFormat="1" x14ac:dyDescent="0.25">
      <c r="A63" s="19" t="s">
        <v>1</v>
      </c>
      <c r="B63" s="20">
        <v>0.2</v>
      </c>
    </row>
    <row r="64" spans="1:38" s="18" customFormat="1" x14ac:dyDescent="0.25">
      <c r="A64" s="19" t="s">
        <v>3</v>
      </c>
      <c r="B64" s="18">
        <f>(B62+(B62*B63))/12</f>
        <v>12500</v>
      </c>
    </row>
    <row r="65" spans="1:38" s="18" customFormat="1" x14ac:dyDescent="0.25">
      <c r="A65" s="19" t="s">
        <v>15</v>
      </c>
      <c r="B65" s="18">
        <v>5000</v>
      </c>
      <c r="K65" s="18">
        <v>5000</v>
      </c>
      <c r="N65" s="18">
        <v>5000</v>
      </c>
      <c r="Q65" s="18">
        <v>5000</v>
      </c>
      <c r="T65" s="18">
        <v>5000</v>
      </c>
      <c r="W65" s="18">
        <v>5000</v>
      </c>
      <c r="Z65" s="18">
        <v>5000</v>
      </c>
      <c r="AC65" s="18">
        <v>5000</v>
      </c>
      <c r="AF65" s="18">
        <v>5000</v>
      </c>
      <c r="AI65" s="18">
        <v>5000</v>
      </c>
      <c r="AL65" s="18">
        <v>5000</v>
      </c>
    </row>
    <row r="66" spans="1:38" s="18" customFormat="1" x14ac:dyDescent="0.25">
      <c r="A66" s="19" t="s">
        <v>32</v>
      </c>
      <c r="B66" s="18">
        <v>6.05</v>
      </c>
      <c r="H66" s="18">
        <f t="shared" ref="H66:AL66" si="142">H$43*$B66</f>
        <v>157.29999999999998</v>
      </c>
      <c r="I66" s="18">
        <f t="shared" si="142"/>
        <v>157.29999999999998</v>
      </c>
      <c r="J66" s="18">
        <f t="shared" si="142"/>
        <v>157.29999999999998</v>
      </c>
      <c r="K66" s="18">
        <f t="shared" si="142"/>
        <v>151.25</v>
      </c>
      <c r="L66" s="18">
        <f t="shared" si="142"/>
        <v>163.35</v>
      </c>
      <c r="M66" s="18">
        <f t="shared" si="142"/>
        <v>139.15</v>
      </c>
      <c r="N66" s="18">
        <f t="shared" si="142"/>
        <v>157.29999999999998</v>
      </c>
      <c r="O66" s="18">
        <f t="shared" si="142"/>
        <v>151.25</v>
      </c>
      <c r="P66" s="18">
        <f t="shared" si="142"/>
        <v>145.19999999999999</v>
      </c>
      <c r="Q66" s="18">
        <f t="shared" si="142"/>
        <v>163.35</v>
      </c>
      <c r="R66" s="18">
        <f t="shared" si="142"/>
        <v>157.29999999999998</v>
      </c>
      <c r="S66" s="18">
        <f t="shared" si="142"/>
        <v>151.25</v>
      </c>
      <c r="T66" s="18">
        <f t="shared" si="142"/>
        <v>157.29999999999998</v>
      </c>
      <c r="U66" s="18">
        <f t="shared" si="142"/>
        <v>157.29999999999998</v>
      </c>
      <c r="V66" s="18">
        <f t="shared" si="142"/>
        <v>157.29999999999998</v>
      </c>
      <c r="W66" s="18">
        <f t="shared" si="142"/>
        <v>151.25</v>
      </c>
      <c r="X66" s="18">
        <f t="shared" si="142"/>
        <v>157.29999999999998</v>
      </c>
      <c r="Y66" s="18">
        <f t="shared" si="142"/>
        <v>145.19999999999999</v>
      </c>
      <c r="Z66" s="18">
        <f t="shared" si="142"/>
        <v>151.25</v>
      </c>
      <c r="AA66" s="18">
        <f t="shared" si="142"/>
        <v>145.19999999999999</v>
      </c>
      <c r="AB66" s="18">
        <f t="shared" si="142"/>
        <v>145.19999999999999</v>
      </c>
      <c r="AC66" s="18">
        <f t="shared" si="142"/>
        <v>163.35</v>
      </c>
      <c r="AD66" s="18">
        <f t="shared" si="142"/>
        <v>157.29999999999998</v>
      </c>
      <c r="AE66" s="18">
        <f t="shared" si="142"/>
        <v>151.25</v>
      </c>
      <c r="AF66" s="18">
        <f t="shared" si="142"/>
        <v>157.29999999999998</v>
      </c>
      <c r="AG66" s="18">
        <f t="shared" si="142"/>
        <v>151.25</v>
      </c>
      <c r="AH66" s="18">
        <f t="shared" si="142"/>
        <v>163.35</v>
      </c>
      <c r="AI66" s="18">
        <f t="shared" si="142"/>
        <v>151.25</v>
      </c>
      <c r="AJ66" s="18">
        <f t="shared" si="142"/>
        <v>157.29999999999998</v>
      </c>
      <c r="AK66" s="18">
        <f t="shared" si="142"/>
        <v>145.19999999999999</v>
      </c>
      <c r="AL66" s="18">
        <f t="shared" si="142"/>
        <v>151.25</v>
      </c>
    </row>
    <row r="67" spans="1:38" s="30" customFormat="1" x14ac:dyDescent="0.25">
      <c r="A67" s="31"/>
    </row>
    <row r="68" spans="1:38" s="18" customFormat="1" x14ac:dyDescent="0.25">
      <c r="A68" s="18" t="s">
        <v>17</v>
      </c>
      <c r="T68" s="18">
        <v>12500</v>
      </c>
      <c r="U68" s="18">
        <v>12500</v>
      </c>
      <c r="V68" s="18">
        <v>12500</v>
      </c>
      <c r="W68" s="18">
        <v>12500</v>
      </c>
      <c r="X68" s="18">
        <v>12500</v>
      </c>
      <c r="Y68" s="18">
        <v>12500</v>
      </c>
      <c r="Z68" s="18">
        <v>12500</v>
      </c>
      <c r="AA68" s="18">
        <v>12500</v>
      </c>
      <c r="AB68" s="18">
        <v>12500</v>
      </c>
      <c r="AC68" s="18">
        <v>12500</v>
      </c>
      <c r="AD68" s="18">
        <v>12500</v>
      </c>
      <c r="AE68" s="18">
        <v>12500</v>
      </c>
      <c r="AF68" s="18">
        <v>12500</v>
      </c>
      <c r="AG68" s="18">
        <v>12500</v>
      </c>
      <c r="AH68" s="18">
        <v>12500</v>
      </c>
      <c r="AI68" s="18">
        <v>12500</v>
      </c>
      <c r="AJ68" s="18">
        <v>12500</v>
      </c>
      <c r="AK68" s="18">
        <v>12500</v>
      </c>
      <c r="AL68" s="18">
        <v>12500</v>
      </c>
    </row>
    <row r="69" spans="1:38" s="18" customFormat="1" x14ac:dyDescent="0.25">
      <c r="A69" s="19" t="s">
        <v>2</v>
      </c>
      <c r="B69" s="18">
        <v>125000</v>
      </c>
    </row>
    <row r="70" spans="1:38" s="18" customFormat="1" x14ac:dyDescent="0.25">
      <c r="A70" s="19" t="s">
        <v>1</v>
      </c>
      <c r="B70" s="20">
        <v>0.2</v>
      </c>
    </row>
    <row r="71" spans="1:38" s="18" customFormat="1" x14ac:dyDescent="0.25">
      <c r="A71" s="19" t="s">
        <v>3</v>
      </c>
      <c r="B71" s="18">
        <f>(B69+(B69*B70))/12</f>
        <v>12500</v>
      </c>
    </row>
    <row r="72" spans="1:38" s="18" customFormat="1" x14ac:dyDescent="0.25">
      <c r="A72" s="19" t="s">
        <v>15</v>
      </c>
      <c r="B72" s="18">
        <v>5000</v>
      </c>
      <c r="W72" s="18">
        <v>5000</v>
      </c>
      <c r="Z72" s="18">
        <v>5000</v>
      </c>
      <c r="AC72" s="18">
        <v>5000</v>
      </c>
      <c r="AF72" s="18">
        <v>5000</v>
      </c>
      <c r="AI72" s="18">
        <v>5000</v>
      </c>
      <c r="AL72" s="18">
        <v>5000</v>
      </c>
    </row>
    <row r="73" spans="1:38" s="18" customFormat="1" x14ac:dyDescent="0.25">
      <c r="A73" s="19" t="s">
        <v>32</v>
      </c>
      <c r="B73" s="18">
        <v>6.05</v>
      </c>
      <c r="T73" s="18">
        <f t="shared" ref="T73:AL73" si="143">T$43*$B73</f>
        <v>157.29999999999998</v>
      </c>
      <c r="U73" s="18">
        <f t="shared" si="143"/>
        <v>157.29999999999998</v>
      </c>
      <c r="V73" s="18">
        <f t="shared" si="143"/>
        <v>157.29999999999998</v>
      </c>
      <c r="W73" s="18">
        <f t="shared" si="143"/>
        <v>151.25</v>
      </c>
      <c r="X73" s="18">
        <f t="shared" si="143"/>
        <v>157.29999999999998</v>
      </c>
      <c r="Y73" s="18">
        <f t="shared" si="143"/>
        <v>145.19999999999999</v>
      </c>
      <c r="Z73" s="18">
        <f t="shared" si="143"/>
        <v>151.25</v>
      </c>
      <c r="AA73" s="18">
        <f t="shared" si="143"/>
        <v>145.19999999999999</v>
      </c>
      <c r="AB73" s="18">
        <f t="shared" si="143"/>
        <v>145.19999999999999</v>
      </c>
      <c r="AC73" s="18">
        <f t="shared" si="143"/>
        <v>163.35</v>
      </c>
      <c r="AD73" s="18">
        <f t="shared" si="143"/>
        <v>157.29999999999998</v>
      </c>
      <c r="AE73" s="18">
        <f t="shared" si="143"/>
        <v>151.25</v>
      </c>
      <c r="AF73" s="18">
        <f t="shared" si="143"/>
        <v>157.29999999999998</v>
      </c>
      <c r="AG73" s="18">
        <f t="shared" si="143"/>
        <v>151.25</v>
      </c>
      <c r="AH73" s="18">
        <f t="shared" si="143"/>
        <v>163.35</v>
      </c>
      <c r="AI73" s="18">
        <f t="shared" si="143"/>
        <v>151.25</v>
      </c>
      <c r="AJ73" s="18">
        <f t="shared" si="143"/>
        <v>157.29999999999998</v>
      </c>
      <c r="AK73" s="18">
        <f t="shared" si="143"/>
        <v>145.19999999999999</v>
      </c>
      <c r="AL73" s="18">
        <f t="shared" si="143"/>
        <v>151.25</v>
      </c>
    </row>
    <row r="75" spans="1:38" s="22" customFormat="1" x14ac:dyDescent="0.25">
      <c r="A75" s="21" t="s">
        <v>18</v>
      </c>
      <c r="E75" s="22">
        <f>2000*(E29+E36)</f>
        <v>20000</v>
      </c>
      <c r="F75" s="22">
        <f t="shared" ref="F75:Z75" si="144">2000*(F29+F36)</f>
        <v>20000</v>
      </c>
      <c r="G75" s="22">
        <f t="shared" si="144"/>
        <v>20000</v>
      </c>
      <c r="H75" s="22">
        <f t="shared" si="144"/>
        <v>20000</v>
      </c>
      <c r="I75" s="22">
        <f t="shared" si="144"/>
        <v>24000</v>
      </c>
      <c r="J75" s="22">
        <f t="shared" si="144"/>
        <v>24000</v>
      </c>
      <c r="K75" s="22">
        <f t="shared" si="144"/>
        <v>24000</v>
      </c>
      <c r="L75" s="22">
        <f t="shared" si="144"/>
        <v>24000</v>
      </c>
      <c r="M75" s="22">
        <f>2000*(M29+M36)</f>
        <v>26000</v>
      </c>
      <c r="N75" s="22">
        <f t="shared" si="144"/>
        <v>26000</v>
      </c>
      <c r="O75" s="22">
        <f t="shared" si="144"/>
        <v>28000</v>
      </c>
      <c r="P75" s="22">
        <f t="shared" si="144"/>
        <v>30000</v>
      </c>
      <c r="Q75" s="22">
        <f t="shared" si="144"/>
        <v>32000</v>
      </c>
      <c r="R75" s="22">
        <f t="shared" si="144"/>
        <v>32000</v>
      </c>
      <c r="S75" s="22">
        <f>2000*(S29+S36)</f>
        <v>34000</v>
      </c>
      <c r="T75" s="22">
        <f t="shared" si="144"/>
        <v>34000</v>
      </c>
      <c r="U75" s="22">
        <f t="shared" si="144"/>
        <v>36000</v>
      </c>
      <c r="V75" s="22">
        <f t="shared" si="144"/>
        <v>36000</v>
      </c>
      <c r="W75" s="22">
        <f t="shared" si="144"/>
        <v>38000</v>
      </c>
      <c r="X75" s="22">
        <f t="shared" si="144"/>
        <v>40000</v>
      </c>
      <c r="Y75" s="22">
        <f>2000*(Y29+Y36)</f>
        <v>40000</v>
      </c>
      <c r="Z75" s="22">
        <f t="shared" si="144"/>
        <v>42000</v>
      </c>
      <c r="AA75" s="22">
        <f t="shared" ref="AA75" si="145">2000*(AA29+AA36)</f>
        <v>44000</v>
      </c>
      <c r="AB75" s="22">
        <f>2000*(AB29+AB36)</f>
        <v>46000</v>
      </c>
      <c r="AC75" s="22">
        <f t="shared" ref="AC75:AD75" si="146">2000*(AC29+AC36)</f>
        <v>48000</v>
      </c>
      <c r="AD75" s="22">
        <f t="shared" si="146"/>
        <v>50000</v>
      </c>
      <c r="AE75" s="22">
        <f>2000*(AE29+AE36)</f>
        <v>50000</v>
      </c>
      <c r="AF75" s="22">
        <f t="shared" ref="AF75" si="147">2000*(AF29+AF36)</f>
        <v>52000</v>
      </c>
      <c r="AG75" s="22">
        <v>52000</v>
      </c>
      <c r="AH75" s="22">
        <v>52000</v>
      </c>
      <c r="AI75" s="22">
        <v>52000</v>
      </c>
      <c r="AJ75" s="22">
        <v>52000</v>
      </c>
      <c r="AK75" s="22">
        <v>52000</v>
      </c>
      <c r="AL75" s="22">
        <v>52000</v>
      </c>
    </row>
    <row r="76" spans="1:38" s="22" customFormat="1" x14ac:dyDescent="0.25">
      <c r="A76" s="23" t="s">
        <v>62</v>
      </c>
      <c r="B76" s="22">
        <v>520000</v>
      </c>
    </row>
    <row r="77" spans="1:38" s="22" customFormat="1" x14ac:dyDescent="0.25">
      <c r="A77" s="23" t="s">
        <v>1</v>
      </c>
      <c r="B77" s="24">
        <v>0.2</v>
      </c>
    </row>
    <row r="78" spans="1:38" s="22" customFormat="1" x14ac:dyDescent="0.25">
      <c r="A78" s="23" t="s">
        <v>3</v>
      </c>
      <c r="B78" s="22">
        <f>(B76+(B76*B77))/12</f>
        <v>52000</v>
      </c>
    </row>
    <row r="79" spans="1:38" s="22" customFormat="1" x14ac:dyDescent="0.25">
      <c r="A79" s="23" t="s">
        <v>15</v>
      </c>
      <c r="B79" s="22">
        <v>20000</v>
      </c>
      <c r="H79" s="22">
        <v>20000</v>
      </c>
      <c r="K79" s="22">
        <v>20000</v>
      </c>
      <c r="N79" s="22">
        <v>20000</v>
      </c>
      <c r="Q79" s="22">
        <v>20000</v>
      </c>
      <c r="T79" s="22">
        <v>20000</v>
      </c>
      <c r="W79" s="22">
        <v>20000</v>
      </c>
      <c r="Z79" s="22">
        <v>20000</v>
      </c>
      <c r="AC79" s="22">
        <v>20000</v>
      </c>
      <c r="AF79" s="22">
        <v>20000</v>
      </c>
      <c r="AI79" s="22">
        <v>20000</v>
      </c>
      <c r="AL79" s="22">
        <v>20000</v>
      </c>
    </row>
    <row r="80" spans="1:38" s="22" customFormat="1" x14ac:dyDescent="0.25">
      <c r="A80" s="23" t="s">
        <v>32</v>
      </c>
      <c r="B80" s="22">
        <v>5.92</v>
      </c>
      <c r="C80" s="22">
        <v>0</v>
      </c>
      <c r="D80" s="22">
        <v>0</v>
      </c>
      <c r="E80" s="22">
        <f t="shared" ref="E80:AL80" si="148">E$43*$B80</f>
        <v>153.91999999999999</v>
      </c>
      <c r="F80" s="22">
        <f t="shared" si="148"/>
        <v>153.91999999999999</v>
      </c>
      <c r="G80" s="22">
        <f t="shared" si="148"/>
        <v>148</v>
      </c>
      <c r="H80" s="22">
        <f t="shared" si="148"/>
        <v>153.91999999999999</v>
      </c>
      <c r="I80" s="22">
        <f t="shared" si="148"/>
        <v>153.91999999999999</v>
      </c>
      <c r="J80" s="22">
        <f t="shared" si="148"/>
        <v>153.91999999999999</v>
      </c>
      <c r="K80" s="22">
        <f t="shared" si="148"/>
        <v>148</v>
      </c>
      <c r="L80" s="22">
        <f t="shared" si="148"/>
        <v>159.84</v>
      </c>
      <c r="M80" s="22">
        <f t="shared" si="148"/>
        <v>136.16</v>
      </c>
      <c r="N80" s="22">
        <f t="shared" si="148"/>
        <v>153.91999999999999</v>
      </c>
      <c r="O80" s="22">
        <f t="shared" si="148"/>
        <v>148</v>
      </c>
      <c r="P80" s="22">
        <f t="shared" si="148"/>
        <v>142.07999999999998</v>
      </c>
      <c r="Q80" s="22">
        <f t="shared" si="148"/>
        <v>159.84</v>
      </c>
      <c r="R80" s="22">
        <f t="shared" si="148"/>
        <v>153.91999999999999</v>
      </c>
      <c r="S80" s="22">
        <f t="shared" si="148"/>
        <v>148</v>
      </c>
      <c r="T80" s="22">
        <f t="shared" si="148"/>
        <v>153.91999999999999</v>
      </c>
      <c r="U80" s="22">
        <f t="shared" si="148"/>
        <v>153.91999999999999</v>
      </c>
      <c r="V80" s="22">
        <f t="shared" si="148"/>
        <v>153.91999999999999</v>
      </c>
      <c r="W80" s="22">
        <f t="shared" si="148"/>
        <v>148</v>
      </c>
      <c r="X80" s="22">
        <f t="shared" si="148"/>
        <v>153.91999999999999</v>
      </c>
      <c r="Y80" s="22">
        <f t="shared" si="148"/>
        <v>142.07999999999998</v>
      </c>
      <c r="Z80" s="22">
        <f t="shared" si="148"/>
        <v>148</v>
      </c>
      <c r="AA80" s="22">
        <f t="shared" si="148"/>
        <v>142.07999999999998</v>
      </c>
      <c r="AB80" s="22">
        <f t="shared" si="148"/>
        <v>142.07999999999998</v>
      </c>
      <c r="AC80" s="22">
        <f t="shared" si="148"/>
        <v>159.84</v>
      </c>
      <c r="AD80" s="22">
        <f t="shared" si="148"/>
        <v>153.91999999999999</v>
      </c>
      <c r="AE80" s="22">
        <f t="shared" si="148"/>
        <v>148</v>
      </c>
      <c r="AF80" s="22">
        <f t="shared" si="148"/>
        <v>153.91999999999999</v>
      </c>
      <c r="AG80" s="22">
        <f t="shared" si="148"/>
        <v>148</v>
      </c>
      <c r="AH80" s="22">
        <f t="shared" si="148"/>
        <v>159.84</v>
      </c>
      <c r="AI80" s="22">
        <f t="shared" si="148"/>
        <v>148</v>
      </c>
      <c r="AJ80" s="22">
        <f t="shared" si="148"/>
        <v>153.91999999999999</v>
      </c>
      <c r="AK80" s="22">
        <f t="shared" si="148"/>
        <v>142.07999999999998</v>
      </c>
      <c r="AL80" s="22">
        <f t="shared" si="148"/>
        <v>148</v>
      </c>
    </row>
    <row r="83" spans="1:38" x14ac:dyDescent="0.25">
      <c r="A83" t="s">
        <v>37</v>
      </c>
      <c r="F83">
        <f>SUM(F84:F85)</f>
        <v>10000</v>
      </c>
      <c r="G83">
        <f>SUM(G84:G85)</f>
        <v>15000</v>
      </c>
      <c r="H83">
        <f t="shared" ref="H83:Z83" si="149">SUM(H84:H85)</f>
        <v>17500</v>
      </c>
      <c r="I83">
        <f t="shared" si="149"/>
        <v>20000</v>
      </c>
      <c r="J83">
        <f t="shared" si="149"/>
        <v>22500</v>
      </c>
      <c r="K83">
        <f t="shared" si="149"/>
        <v>25000</v>
      </c>
      <c r="L83">
        <f t="shared" si="149"/>
        <v>25000</v>
      </c>
      <c r="M83">
        <f t="shared" si="149"/>
        <v>25000</v>
      </c>
      <c r="N83">
        <f t="shared" si="149"/>
        <v>25000</v>
      </c>
      <c r="O83">
        <f t="shared" si="149"/>
        <v>25000</v>
      </c>
      <c r="P83">
        <f t="shared" si="149"/>
        <v>25000</v>
      </c>
      <c r="Q83">
        <f t="shared" si="149"/>
        <v>25000</v>
      </c>
      <c r="R83">
        <f t="shared" si="149"/>
        <v>25000</v>
      </c>
      <c r="S83">
        <f t="shared" si="149"/>
        <v>25000</v>
      </c>
      <c r="T83">
        <f t="shared" si="149"/>
        <v>25000</v>
      </c>
      <c r="U83">
        <f t="shared" si="149"/>
        <v>25000</v>
      </c>
      <c r="V83">
        <f t="shared" si="149"/>
        <v>25000</v>
      </c>
      <c r="W83">
        <f t="shared" si="149"/>
        <v>25000</v>
      </c>
      <c r="X83">
        <f t="shared" si="149"/>
        <v>25000</v>
      </c>
      <c r="Y83">
        <f t="shared" si="149"/>
        <v>25000</v>
      </c>
      <c r="Z83">
        <f t="shared" si="149"/>
        <v>25000</v>
      </c>
      <c r="AA83">
        <f t="shared" ref="AA83:AL83" si="150">SUM(AA84:AA85)</f>
        <v>25000</v>
      </c>
      <c r="AB83">
        <f t="shared" si="150"/>
        <v>25000</v>
      </c>
      <c r="AC83">
        <f t="shared" si="150"/>
        <v>25000</v>
      </c>
      <c r="AD83">
        <f t="shared" si="150"/>
        <v>25000</v>
      </c>
      <c r="AE83">
        <f t="shared" si="150"/>
        <v>25000</v>
      </c>
      <c r="AF83">
        <f t="shared" si="150"/>
        <v>25000</v>
      </c>
      <c r="AG83">
        <f t="shared" si="150"/>
        <v>25000</v>
      </c>
      <c r="AH83">
        <f t="shared" si="150"/>
        <v>25000</v>
      </c>
      <c r="AI83">
        <f t="shared" si="150"/>
        <v>25000</v>
      </c>
      <c r="AJ83">
        <f t="shared" si="150"/>
        <v>25000</v>
      </c>
      <c r="AK83">
        <f t="shared" si="150"/>
        <v>25000</v>
      </c>
      <c r="AL83">
        <f t="shared" si="150"/>
        <v>25000</v>
      </c>
    </row>
    <row r="84" spans="1:38" x14ac:dyDescent="0.25">
      <c r="A84" s="11" t="s">
        <v>38</v>
      </c>
      <c r="F84">
        <v>5000</v>
      </c>
      <c r="G84">
        <v>7500</v>
      </c>
      <c r="H84">
        <v>10000</v>
      </c>
      <c r="I84">
        <v>10000</v>
      </c>
      <c r="J84">
        <v>10000</v>
      </c>
      <c r="K84">
        <v>10000</v>
      </c>
      <c r="L84">
        <v>10000</v>
      </c>
      <c r="M84">
        <v>10000</v>
      </c>
      <c r="N84">
        <v>10000</v>
      </c>
      <c r="O84">
        <v>10000</v>
      </c>
      <c r="P84">
        <v>10000</v>
      </c>
      <c r="Q84">
        <v>10000</v>
      </c>
      <c r="R84">
        <v>10000</v>
      </c>
      <c r="S84">
        <v>10000</v>
      </c>
      <c r="T84">
        <v>10000</v>
      </c>
      <c r="U84">
        <v>10000</v>
      </c>
      <c r="V84">
        <v>10000</v>
      </c>
      <c r="W84">
        <v>10000</v>
      </c>
      <c r="X84">
        <v>10000</v>
      </c>
      <c r="Y84">
        <v>10000</v>
      </c>
      <c r="Z84">
        <v>10000</v>
      </c>
      <c r="AA84">
        <v>10000</v>
      </c>
      <c r="AB84">
        <v>10000</v>
      </c>
      <c r="AC84">
        <v>10000</v>
      </c>
      <c r="AD84">
        <v>10000</v>
      </c>
      <c r="AE84">
        <v>10000</v>
      </c>
      <c r="AF84">
        <v>10000</v>
      </c>
      <c r="AG84">
        <v>10000</v>
      </c>
      <c r="AH84">
        <v>10000</v>
      </c>
      <c r="AI84">
        <v>10000</v>
      </c>
      <c r="AJ84">
        <v>10000</v>
      </c>
      <c r="AK84">
        <v>10000</v>
      </c>
      <c r="AL84">
        <v>10000</v>
      </c>
    </row>
    <row r="85" spans="1:38" x14ac:dyDescent="0.25">
      <c r="A85" s="11" t="s">
        <v>39</v>
      </c>
      <c r="F85">
        <v>5000</v>
      </c>
      <c r="G85">
        <v>7500</v>
      </c>
      <c r="H85">
        <v>7500</v>
      </c>
      <c r="I85">
        <v>10000</v>
      </c>
      <c r="J85">
        <v>12500</v>
      </c>
      <c r="K85">
        <v>15000</v>
      </c>
      <c r="L85">
        <v>15000</v>
      </c>
      <c r="M85">
        <v>15000</v>
      </c>
      <c r="N85">
        <v>15000</v>
      </c>
      <c r="O85">
        <v>15000</v>
      </c>
      <c r="P85">
        <v>15000</v>
      </c>
      <c r="Q85">
        <v>15000</v>
      </c>
      <c r="R85">
        <v>15000</v>
      </c>
      <c r="S85">
        <v>15000</v>
      </c>
      <c r="T85">
        <v>15000</v>
      </c>
      <c r="U85">
        <v>15000</v>
      </c>
      <c r="V85">
        <v>15000</v>
      </c>
      <c r="W85">
        <v>15000</v>
      </c>
      <c r="X85">
        <v>15000</v>
      </c>
      <c r="Y85">
        <v>15000</v>
      </c>
      <c r="Z85">
        <v>15000</v>
      </c>
      <c r="AA85">
        <v>15000</v>
      </c>
      <c r="AB85">
        <v>15000</v>
      </c>
      <c r="AC85">
        <v>15000</v>
      </c>
      <c r="AD85">
        <v>15000</v>
      </c>
      <c r="AE85">
        <v>15000</v>
      </c>
      <c r="AF85">
        <v>15000</v>
      </c>
      <c r="AG85">
        <v>15000</v>
      </c>
      <c r="AH85">
        <v>15000</v>
      </c>
      <c r="AI85">
        <v>15000</v>
      </c>
      <c r="AJ85">
        <v>15000</v>
      </c>
      <c r="AK85">
        <v>15000</v>
      </c>
      <c r="AL85">
        <v>15000</v>
      </c>
    </row>
    <row r="86" spans="1:38" x14ac:dyDescent="0.25">
      <c r="A86" s="11"/>
    </row>
    <row r="87" spans="1:38" x14ac:dyDescent="0.25">
      <c r="A87" s="14" t="s">
        <v>5</v>
      </c>
    </row>
    <row r="88" spans="1:38" x14ac:dyDescent="0.25">
      <c r="A88" s="12" t="s">
        <v>4</v>
      </c>
      <c r="B88">
        <v>1</v>
      </c>
      <c r="F88">
        <v>0</v>
      </c>
      <c r="G88">
        <v>1</v>
      </c>
      <c r="H88">
        <v>1</v>
      </c>
      <c r="I88">
        <v>2</v>
      </c>
      <c r="J88">
        <v>2</v>
      </c>
      <c r="K88">
        <v>3</v>
      </c>
      <c r="L88">
        <v>3</v>
      </c>
      <c r="M88">
        <v>4</v>
      </c>
      <c r="N88">
        <v>4</v>
      </c>
      <c r="O88">
        <v>5</v>
      </c>
      <c r="P88">
        <v>5</v>
      </c>
      <c r="Q88">
        <v>6</v>
      </c>
      <c r="R88">
        <v>6</v>
      </c>
      <c r="S88">
        <v>7</v>
      </c>
      <c r="T88">
        <v>7</v>
      </c>
      <c r="U88">
        <v>8</v>
      </c>
      <c r="V88">
        <v>8</v>
      </c>
      <c r="W88">
        <v>8</v>
      </c>
      <c r="X88">
        <v>8</v>
      </c>
      <c r="Y88">
        <v>8</v>
      </c>
      <c r="Z88">
        <v>8</v>
      </c>
      <c r="AA88">
        <f>8+(ROUNDUP((AA18-700)/100,0))</f>
        <v>9</v>
      </c>
      <c r="AB88">
        <f t="shared" ref="AB88:AL88" si="151">8+(ROUNDUP((AB18-700)/100,0))</f>
        <v>10</v>
      </c>
      <c r="AC88">
        <f t="shared" si="151"/>
        <v>12</v>
      </c>
      <c r="AD88">
        <f t="shared" si="151"/>
        <v>12</v>
      </c>
      <c r="AE88">
        <f t="shared" si="151"/>
        <v>13</v>
      </c>
      <c r="AF88">
        <f t="shared" si="151"/>
        <v>14</v>
      </c>
      <c r="AG88">
        <f t="shared" si="151"/>
        <v>15</v>
      </c>
      <c r="AH88">
        <f t="shared" si="151"/>
        <v>16</v>
      </c>
      <c r="AI88">
        <f t="shared" si="151"/>
        <v>17</v>
      </c>
      <c r="AJ88">
        <f t="shared" si="151"/>
        <v>18</v>
      </c>
      <c r="AK88">
        <f t="shared" si="151"/>
        <v>19</v>
      </c>
      <c r="AL88">
        <f t="shared" si="151"/>
        <v>20</v>
      </c>
    </row>
    <row r="89" spans="1:38" x14ac:dyDescent="0.25">
      <c r="A89" s="12" t="s">
        <v>2</v>
      </c>
      <c r="B89">
        <v>40000</v>
      </c>
    </row>
    <row r="90" spans="1:38" x14ac:dyDescent="0.25">
      <c r="A90" s="12" t="s">
        <v>1</v>
      </c>
      <c r="B90" s="13">
        <v>0.2</v>
      </c>
    </row>
    <row r="91" spans="1:38" x14ac:dyDescent="0.25">
      <c r="A91" s="12" t="s">
        <v>3</v>
      </c>
      <c r="B91">
        <f>B88*(B89+(B89*B90))/12</f>
        <v>4000</v>
      </c>
      <c r="G91">
        <f t="shared" ref="G91:AL91" si="152">$B91*G88</f>
        <v>4000</v>
      </c>
      <c r="H91">
        <f t="shared" si="152"/>
        <v>4000</v>
      </c>
      <c r="I91">
        <f t="shared" si="152"/>
        <v>8000</v>
      </c>
      <c r="J91">
        <f t="shared" si="152"/>
        <v>8000</v>
      </c>
      <c r="K91">
        <f t="shared" si="152"/>
        <v>12000</v>
      </c>
      <c r="L91">
        <f t="shared" si="152"/>
        <v>12000</v>
      </c>
      <c r="M91">
        <f t="shared" si="152"/>
        <v>16000</v>
      </c>
      <c r="N91">
        <f t="shared" si="152"/>
        <v>16000</v>
      </c>
      <c r="O91">
        <f t="shared" si="152"/>
        <v>20000</v>
      </c>
      <c r="P91">
        <f t="shared" si="152"/>
        <v>20000</v>
      </c>
      <c r="Q91">
        <f t="shared" si="152"/>
        <v>24000</v>
      </c>
      <c r="R91">
        <f t="shared" si="152"/>
        <v>24000</v>
      </c>
      <c r="S91">
        <f t="shared" si="152"/>
        <v>28000</v>
      </c>
      <c r="T91">
        <f t="shared" si="152"/>
        <v>28000</v>
      </c>
      <c r="U91">
        <f t="shared" si="152"/>
        <v>32000</v>
      </c>
      <c r="V91">
        <f t="shared" si="152"/>
        <v>32000</v>
      </c>
      <c r="W91">
        <f t="shared" si="152"/>
        <v>32000</v>
      </c>
      <c r="X91">
        <f t="shared" si="152"/>
        <v>32000</v>
      </c>
      <c r="Y91">
        <f t="shared" si="152"/>
        <v>32000</v>
      </c>
      <c r="Z91">
        <f t="shared" si="152"/>
        <v>32000</v>
      </c>
      <c r="AA91">
        <f t="shared" si="152"/>
        <v>36000</v>
      </c>
      <c r="AB91">
        <f t="shared" si="152"/>
        <v>40000</v>
      </c>
      <c r="AC91">
        <f t="shared" si="152"/>
        <v>48000</v>
      </c>
      <c r="AD91">
        <f t="shared" si="152"/>
        <v>48000</v>
      </c>
      <c r="AE91">
        <f t="shared" si="152"/>
        <v>52000</v>
      </c>
      <c r="AF91">
        <f t="shared" si="152"/>
        <v>56000</v>
      </c>
      <c r="AG91">
        <f t="shared" si="152"/>
        <v>60000</v>
      </c>
      <c r="AH91">
        <f t="shared" si="152"/>
        <v>64000</v>
      </c>
      <c r="AI91">
        <f t="shared" si="152"/>
        <v>68000</v>
      </c>
      <c r="AJ91">
        <f t="shared" si="152"/>
        <v>72000</v>
      </c>
      <c r="AK91">
        <f t="shared" si="152"/>
        <v>76000</v>
      </c>
      <c r="AL91">
        <f t="shared" si="152"/>
        <v>80000</v>
      </c>
    </row>
    <row r="93" spans="1:38" x14ac:dyDescent="0.25">
      <c r="A93" s="14" t="s">
        <v>6</v>
      </c>
    </row>
    <row r="94" spans="1:38" x14ac:dyDescent="0.25">
      <c r="A94" s="12" t="s">
        <v>4</v>
      </c>
      <c r="B94">
        <v>1</v>
      </c>
      <c r="E94">
        <v>0</v>
      </c>
      <c r="G94">
        <v>1</v>
      </c>
      <c r="H94">
        <v>2</v>
      </c>
      <c r="I94">
        <v>3</v>
      </c>
      <c r="J94">
        <v>3</v>
      </c>
      <c r="K94">
        <v>4</v>
      </c>
      <c r="L94">
        <v>5</v>
      </c>
      <c r="M94">
        <v>6</v>
      </c>
      <c r="N94">
        <v>6</v>
      </c>
      <c r="O94">
        <v>7</v>
      </c>
      <c r="P94">
        <v>7</v>
      </c>
      <c r="Q94">
        <v>8</v>
      </c>
      <c r="R94">
        <v>8</v>
      </c>
      <c r="S94">
        <v>8</v>
      </c>
      <c r="T94">
        <v>8</v>
      </c>
      <c r="U94">
        <v>8</v>
      </c>
      <c r="V94">
        <v>8</v>
      </c>
      <c r="W94">
        <v>8</v>
      </c>
      <c r="X94">
        <v>8</v>
      </c>
      <c r="Y94">
        <v>8</v>
      </c>
      <c r="Z94">
        <v>8</v>
      </c>
      <c r="AA94">
        <f>8+(ROUNDUP((AA18-700)/100,0))</f>
        <v>9</v>
      </c>
      <c r="AB94">
        <f t="shared" ref="AB94:AL94" si="153">8+(ROUNDUP((AB18-700)/100,0))</f>
        <v>10</v>
      </c>
      <c r="AC94">
        <f t="shared" si="153"/>
        <v>12</v>
      </c>
      <c r="AD94">
        <f t="shared" si="153"/>
        <v>12</v>
      </c>
      <c r="AE94">
        <f t="shared" si="153"/>
        <v>13</v>
      </c>
      <c r="AF94">
        <f t="shared" si="153"/>
        <v>14</v>
      </c>
      <c r="AG94">
        <f t="shared" si="153"/>
        <v>15</v>
      </c>
      <c r="AH94">
        <f t="shared" si="153"/>
        <v>16</v>
      </c>
      <c r="AI94">
        <f t="shared" si="153"/>
        <v>17</v>
      </c>
      <c r="AJ94">
        <f t="shared" si="153"/>
        <v>18</v>
      </c>
      <c r="AK94">
        <f t="shared" si="153"/>
        <v>19</v>
      </c>
      <c r="AL94">
        <f t="shared" si="153"/>
        <v>20</v>
      </c>
    </row>
    <row r="95" spans="1:38" x14ac:dyDescent="0.25">
      <c r="A95" s="12" t="s">
        <v>2</v>
      </c>
      <c r="B95">
        <v>40000</v>
      </c>
    </row>
    <row r="96" spans="1:38" x14ac:dyDescent="0.25">
      <c r="A96" s="12" t="s">
        <v>1</v>
      </c>
      <c r="B96" s="13">
        <v>0.2</v>
      </c>
    </row>
    <row r="97" spans="1:38" x14ac:dyDescent="0.25">
      <c r="A97" s="12" t="s">
        <v>3</v>
      </c>
      <c r="B97">
        <f>B94*(B95+(B95*B96))/12</f>
        <v>4000</v>
      </c>
      <c r="G97">
        <f t="shared" ref="G97:AL97" si="154">$B97*G94</f>
        <v>4000</v>
      </c>
      <c r="H97">
        <f t="shared" si="154"/>
        <v>8000</v>
      </c>
      <c r="I97">
        <f t="shared" si="154"/>
        <v>12000</v>
      </c>
      <c r="J97">
        <f t="shared" si="154"/>
        <v>12000</v>
      </c>
      <c r="K97">
        <f t="shared" si="154"/>
        <v>16000</v>
      </c>
      <c r="L97">
        <f t="shared" si="154"/>
        <v>20000</v>
      </c>
      <c r="M97">
        <f t="shared" si="154"/>
        <v>24000</v>
      </c>
      <c r="N97">
        <f t="shared" si="154"/>
        <v>24000</v>
      </c>
      <c r="O97">
        <f t="shared" si="154"/>
        <v>28000</v>
      </c>
      <c r="P97">
        <f t="shared" si="154"/>
        <v>28000</v>
      </c>
      <c r="Q97">
        <f t="shared" si="154"/>
        <v>32000</v>
      </c>
      <c r="R97">
        <f t="shared" si="154"/>
        <v>32000</v>
      </c>
      <c r="S97">
        <f t="shared" si="154"/>
        <v>32000</v>
      </c>
      <c r="T97">
        <f t="shared" si="154"/>
        <v>32000</v>
      </c>
      <c r="U97">
        <f t="shared" si="154"/>
        <v>32000</v>
      </c>
      <c r="V97">
        <f t="shared" si="154"/>
        <v>32000</v>
      </c>
      <c r="W97">
        <f t="shared" si="154"/>
        <v>32000</v>
      </c>
      <c r="X97">
        <f t="shared" si="154"/>
        <v>32000</v>
      </c>
      <c r="Y97">
        <f t="shared" si="154"/>
        <v>32000</v>
      </c>
      <c r="Z97">
        <f t="shared" si="154"/>
        <v>32000</v>
      </c>
      <c r="AA97">
        <f t="shared" si="154"/>
        <v>36000</v>
      </c>
      <c r="AB97">
        <f t="shared" si="154"/>
        <v>40000</v>
      </c>
      <c r="AC97">
        <f t="shared" si="154"/>
        <v>48000</v>
      </c>
      <c r="AD97">
        <f t="shared" si="154"/>
        <v>48000</v>
      </c>
      <c r="AE97">
        <f t="shared" si="154"/>
        <v>52000</v>
      </c>
      <c r="AF97">
        <f t="shared" si="154"/>
        <v>56000</v>
      </c>
      <c r="AG97">
        <f t="shared" si="154"/>
        <v>60000</v>
      </c>
      <c r="AH97">
        <f t="shared" si="154"/>
        <v>64000</v>
      </c>
      <c r="AI97">
        <f t="shared" si="154"/>
        <v>68000</v>
      </c>
      <c r="AJ97">
        <f t="shared" si="154"/>
        <v>72000</v>
      </c>
      <c r="AK97">
        <f t="shared" si="154"/>
        <v>76000</v>
      </c>
      <c r="AL97">
        <f t="shared" si="154"/>
        <v>80000</v>
      </c>
    </row>
    <row r="99" spans="1:38" x14ac:dyDescent="0.25">
      <c r="A99" s="14" t="s">
        <v>7</v>
      </c>
    </row>
    <row r="100" spans="1:38" x14ac:dyDescent="0.25">
      <c r="A100" s="12" t="s">
        <v>4</v>
      </c>
      <c r="B100">
        <v>1</v>
      </c>
      <c r="G100">
        <v>1</v>
      </c>
      <c r="H100">
        <v>1</v>
      </c>
      <c r="I100">
        <v>1</v>
      </c>
      <c r="J100">
        <v>1</v>
      </c>
      <c r="K100">
        <v>2</v>
      </c>
      <c r="L100">
        <v>2</v>
      </c>
      <c r="M100">
        <v>2</v>
      </c>
      <c r="N100">
        <v>3</v>
      </c>
      <c r="O100">
        <v>3</v>
      </c>
      <c r="P100">
        <v>3</v>
      </c>
      <c r="Q100">
        <v>4</v>
      </c>
      <c r="R100">
        <v>4</v>
      </c>
      <c r="S100">
        <v>4</v>
      </c>
      <c r="T100">
        <v>4</v>
      </c>
      <c r="U100">
        <v>4</v>
      </c>
      <c r="V100">
        <v>4</v>
      </c>
      <c r="W100">
        <v>4</v>
      </c>
      <c r="X100">
        <v>4</v>
      </c>
      <c r="Y100">
        <v>4</v>
      </c>
      <c r="Z100">
        <v>4</v>
      </c>
      <c r="AA100">
        <f>4+(ROUNDUP((AA18-700)/250,0))</f>
        <v>5</v>
      </c>
      <c r="AB100">
        <f t="shared" ref="AB100:AL100" si="155">4+(ROUNDUP((AB18-700)/250,0))</f>
        <v>5</v>
      </c>
      <c r="AC100">
        <f t="shared" si="155"/>
        <v>6</v>
      </c>
      <c r="AD100">
        <f t="shared" si="155"/>
        <v>6</v>
      </c>
      <c r="AE100">
        <f t="shared" si="155"/>
        <v>6</v>
      </c>
      <c r="AF100">
        <f t="shared" si="155"/>
        <v>7</v>
      </c>
      <c r="AG100">
        <f t="shared" si="155"/>
        <v>7</v>
      </c>
      <c r="AH100">
        <f t="shared" si="155"/>
        <v>8</v>
      </c>
      <c r="AI100">
        <f t="shared" si="155"/>
        <v>8</v>
      </c>
      <c r="AJ100">
        <f t="shared" si="155"/>
        <v>8</v>
      </c>
      <c r="AK100">
        <f t="shared" si="155"/>
        <v>9</v>
      </c>
      <c r="AL100">
        <f t="shared" si="155"/>
        <v>9</v>
      </c>
    </row>
    <row r="101" spans="1:38" x14ac:dyDescent="0.25">
      <c r="A101" s="12" t="s">
        <v>2</v>
      </c>
      <c r="B101">
        <v>65000</v>
      </c>
    </row>
    <row r="102" spans="1:38" x14ac:dyDescent="0.25">
      <c r="A102" s="12" t="s">
        <v>1</v>
      </c>
      <c r="B102" s="13">
        <v>0.2</v>
      </c>
    </row>
    <row r="103" spans="1:38" x14ac:dyDescent="0.25">
      <c r="A103" s="12" t="s">
        <v>3</v>
      </c>
      <c r="B103">
        <f>B100*(B101+(B101*B102))/12</f>
        <v>6500</v>
      </c>
      <c r="G103">
        <f t="shared" ref="G103:AA103" si="156">$B103*G100</f>
        <v>6500</v>
      </c>
      <c r="H103">
        <f t="shared" si="156"/>
        <v>6500</v>
      </c>
      <c r="I103">
        <f t="shared" si="156"/>
        <v>6500</v>
      </c>
      <c r="J103">
        <f t="shared" si="156"/>
        <v>6500</v>
      </c>
      <c r="K103">
        <f t="shared" si="156"/>
        <v>13000</v>
      </c>
      <c r="L103">
        <f t="shared" si="156"/>
        <v>13000</v>
      </c>
      <c r="M103">
        <f t="shared" si="156"/>
        <v>13000</v>
      </c>
      <c r="N103">
        <f t="shared" si="156"/>
        <v>19500</v>
      </c>
      <c r="O103">
        <f t="shared" si="156"/>
        <v>19500</v>
      </c>
      <c r="P103">
        <f t="shared" si="156"/>
        <v>19500</v>
      </c>
      <c r="Q103">
        <f t="shared" si="156"/>
        <v>26000</v>
      </c>
      <c r="R103">
        <f t="shared" si="156"/>
        <v>26000</v>
      </c>
      <c r="S103">
        <f t="shared" si="156"/>
        <v>26000</v>
      </c>
      <c r="T103">
        <f t="shared" si="156"/>
        <v>26000</v>
      </c>
      <c r="U103">
        <f t="shared" si="156"/>
        <v>26000</v>
      </c>
      <c r="V103">
        <f t="shared" si="156"/>
        <v>26000</v>
      </c>
      <c r="W103">
        <f t="shared" si="156"/>
        <v>26000</v>
      </c>
      <c r="X103">
        <f t="shared" si="156"/>
        <v>26000</v>
      </c>
      <c r="Y103">
        <f t="shared" si="156"/>
        <v>26000</v>
      </c>
      <c r="Z103">
        <f t="shared" si="156"/>
        <v>26000</v>
      </c>
      <c r="AA103">
        <f t="shared" si="156"/>
        <v>32500</v>
      </c>
      <c r="AB103">
        <f t="shared" ref="AB103:AL103" si="157">$B103*AB100</f>
        <v>32500</v>
      </c>
      <c r="AC103">
        <f t="shared" si="157"/>
        <v>39000</v>
      </c>
      <c r="AD103">
        <f t="shared" si="157"/>
        <v>39000</v>
      </c>
      <c r="AE103">
        <f t="shared" si="157"/>
        <v>39000</v>
      </c>
      <c r="AF103">
        <f t="shared" si="157"/>
        <v>45500</v>
      </c>
      <c r="AG103">
        <f t="shared" si="157"/>
        <v>45500</v>
      </c>
      <c r="AH103">
        <f t="shared" si="157"/>
        <v>52000</v>
      </c>
      <c r="AI103">
        <f t="shared" si="157"/>
        <v>52000</v>
      </c>
      <c r="AJ103">
        <f t="shared" si="157"/>
        <v>52000</v>
      </c>
      <c r="AK103">
        <f t="shared" si="157"/>
        <v>58500</v>
      </c>
      <c r="AL103">
        <f t="shared" si="157"/>
        <v>58500</v>
      </c>
    </row>
    <row r="107" spans="1:38" x14ac:dyDescent="0.25">
      <c r="A107" t="s">
        <v>65</v>
      </c>
    </row>
    <row r="108" spans="1:38" x14ac:dyDescent="0.25">
      <c r="A108" t="s">
        <v>66</v>
      </c>
    </row>
    <row r="109" spans="1:38" x14ac:dyDescent="0.25">
      <c r="A109" t="s">
        <v>67</v>
      </c>
    </row>
    <row r="111" spans="1:38" x14ac:dyDescent="0.25">
      <c r="A111" t="s">
        <v>70</v>
      </c>
    </row>
    <row r="112" spans="1:38" x14ac:dyDescent="0.25">
      <c r="A112" t="s">
        <v>68</v>
      </c>
    </row>
    <row r="114" spans="1:1" x14ac:dyDescent="0.25">
      <c r="A114" t="s">
        <v>71</v>
      </c>
    </row>
    <row r="116" spans="1:1" x14ac:dyDescent="0.25">
      <c r="A116" t="s">
        <v>72</v>
      </c>
    </row>
    <row r="117" spans="1:1" x14ac:dyDescent="0.25">
      <c r="A117" t="s">
        <v>73</v>
      </c>
    </row>
    <row r="119" spans="1:1" x14ac:dyDescent="0.25">
      <c r="A119" t="s">
        <v>74</v>
      </c>
    </row>
    <row r="120" spans="1:1" x14ac:dyDescent="0.25">
      <c r="A120" s="40" t="s">
        <v>69</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0CDA9-6399-BA4B-BCB1-540A1BD02C14}">
  <sheetPr>
    <tabColor theme="5"/>
  </sheetPr>
  <dimension ref="A1:AL60"/>
  <sheetViews>
    <sheetView showGridLines="0" zoomScale="120" zoomScaleNormal="120" workbookViewId="0">
      <pane xSplit="1" ySplit="3" topLeftCell="B4" activePane="bottomRight" state="frozen"/>
      <selection activeCell="A8" sqref="A8:XFD8"/>
      <selection pane="topRight" activeCell="A8" sqref="A8:XFD8"/>
      <selection pane="bottomLeft" activeCell="A8" sqref="A8:XFD8"/>
      <selection pane="bottomRight" activeCell="B4" sqref="B4"/>
    </sheetView>
  </sheetViews>
  <sheetFormatPr defaultColWidth="8.85546875" defaultRowHeight="15" x14ac:dyDescent="0.25"/>
  <cols>
    <col min="1" max="1" width="37" customWidth="1"/>
    <col min="2" max="2" width="15" customWidth="1"/>
    <col min="3" max="13" width="13.42578125" customWidth="1"/>
    <col min="14" max="25" width="13.42578125" bestFit="1" customWidth="1"/>
    <col min="26" max="26" width="10.85546875" customWidth="1"/>
    <col min="27" max="38" width="12.85546875" customWidth="1"/>
  </cols>
  <sheetData>
    <row r="1" spans="1:38" ht="20.25" thickBot="1" x14ac:dyDescent="0.35">
      <c r="A1" s="1" t="s">
        <v>51</v>
      </c>
    </row>
    <row r="2" spans="1:38" ht="15.75" thickTop="1" x14ac:dyDescent="0.25"/>
    <row r="3" spans="1:38" ht="15.75" thickBot="1" x14ac:dyDescent="0.3">
      <c r="A3" s="2" t="s">
        <v>0</v>
      </c>
      <c r="B3" s="3">
        <v>43982</v>
      </c>
      <c r="C3" s="3">
        <f>EOMONTH(B3,1)</f>
        <v>44012</v>
      </c>
      <c r="D3" s="3">
        <f t="shared" ref="D3:L3" si="0">EOMONTH(C3,1)</f>
        <v>44043</v>
      </c>
      <c r="E3" s="3">
        <f t="shared" si="0"/>
        <v>44074</v>
      </c>
      <c r="F3" s="3">
        <f>EOMONTH(E3,1)</f>
        <v>44104</v>
      </c>
      <c r="G3" s="3">
        <f t="shared" si="0"/>
        <v>44135</v>
      </c>
      <c r="H3" s="3">
        <f t="shared" si="0"/>
        <v>44165</v>
      </c>
      <c r="I3" s="3">
        <f t="shared" si="0"/>
        <v>44196</v>
      </c>
      <c r="J3" s="3">
        <f t="shared" si="0"/>
        <v>44227</v>
      </c>
      <c r="K3" s="3">
        <f t="shared" si="0"/>
        <v>44255</v>
      </c>
      <c r="L3" s="3">
        <f t="shared" si="0"/>
        <v>44286</v>
      </c>
      <c r="M3" s="3">
        <f>EOMONTH(L3,1)</f>
        <v>44316</v>
      </c>
      <c r="N3" s="3">
        <f t="shared" ref="N3:AL3" si="1">EOMONTH(M3,1)</f>
        <v>44347</v>
      </c>
      <c r="O3" s="3">
        <f t="shared" si="1"/>
        <v>44377</v>
      </c>
      <c r="P3" s="3">
        <f t="shared" si="1"/>
        <v>44408</v>
      </c>
      <c r="Q3" s="3">
        <f t="shared" si="1"/>
        <v>44439</v>
      </c>
      <c r="R3" s="3">
        <f t="shared" si="1"/>
        <v>44469</v>
      </c>
      <c r="S3" s="3">
        <f t="shared" si="1"/>
        <v>44500</v>
      </c>
      <c r="T3" s="3">
        <f t="shared" si="1"/>
        <v>44530</v>
      </c>
      <c r="U3" s="3">
        <f t="shared" si="1"/>
        <v>44561</v>
      </c>
      <c r="V3" s="3">
        <f t="shared" si="1"/>
        <v>44592</v>
      </c>
      <c r="W3" s="3">
        <f t="shared" si="1"/>
        <v>44620</v>
      </c>
      <c r="X3" s="3">
        <f t="shared" si="1"/>
        <v>44651</v>
      </c>
      <c r="Y3" s="3">
        <f t="shared" si="1"/>
        <v>44681</v>
      </c>
      <c r="Z3" s="3">
        <f t="shared" si="1"/>
        <v>44712</v>
      </c>
      <c r="AA3" s="3">
        <f t="shared" si="1"/>
        <v>44742</v>
      </c>
      <c r="AB3" s="3">
        <f t="shared" si="1"/>
        <v>44773</v>
      </c>
      <c r="AC3" s="3">
        <f t="shared" si="1"/>
        <v>44804</v>
      </c>
      <c r="AD3" s="3">
        <f t="shared" si="1"/>
        <v>44834</v>
      </c>
      <c r="AE3" s="3">
        <f t="shared" si="1"/>
        <v>44865</v>
      </c>
      <c r="AF3" s="3">
        <f t="shared" si="1"/>
        <v>44895</v>
      </c>
      <c r="AG3" s="3">
        <f t="shared" si="1"/>
        <v>44926</v>
      </c>
      <c r="AH3" s="3">
        <f t="shared" si="1"/>
        <v>44957</v>
      </c>
      <c r="AI3" s="3">
        <f t="shared" si="1"/>
        <v>44985</v>
      </c>
      <c r="AJ3" s="3">
        <f t="shared" si="1"/>
        <v>45016</v>
      </c>
      <c r="AK3" s="3">
        <f t="shared" si="1"/>
        <v>45046</v>
      </c>
      <c r="AL3" s="3">
        <f t="shared" si="1"/>
        <v>45077</v>
      </c>
    </row>
    <row r="4" spans="1:38" ht="15.75" x14ac:dyDescent="0.25">
      <c r="A4" t="s">
        <v>52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x14ac:dyDescent="0.25">
      <c r="A5" t="s">
        <v>53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15.75" x14ac:dyDescent="0.25">
      <c r="A6" t="s">
        <v>79</v>
      </c>
      <c r="B6" s="5"/>
      <c r="C6" s="5">
        <v>0</v>
      </c>
      <c r="D6" s="5">
        <v>0</v>
      </c>
      <c r="E6" s="5">
        <v>0</v>
      </c>
      <c r="F6" s="5">
        <v>0</v>
      </c>
      <c r="G6" s="5">
        <v>0</v>
      </c>
      <c r="H6" s="5">
        <v>0</v>
      </c>
      <c r="I6" s="5">
        <v>0</v>
      </c>
      <c r="J6" s="5">
        <v>2376</v>
      </c>
      <c r="K6" s="5">
        <v>2304</v>
      </c>
      <c r="L6" s="5">
        <v>2472</v>
      </c>
      <c r="M6" s="5">
        <v>2112</v>
      </c>
      <c r="N6" s="5">
        <v>2400</v>
      </c>
      <c r="O6" s="5">
        <v>2280</v>
      </c>
      <c r="P6" s="5">
        <v>2208</v>
      </c>
      <c r="Q6" s="5">
        <v>2496</v>
      </c>
      <c r="R6" s="5">
        <v>2400</v>
      </c>
      <c r="S6" s="5">
        <v>2280</v>
      </c>
      <c r="T6" s="5">
        <v>2400</v>
      </c>
      <c r="U6" s="5">
        <v>2376</v>
      </c>
      <c r="V6" s="5">
        <v>2400</v>
      </c>
      <c r="W6" s="5">
        <v>2304</v>
      </c>
      <c r="X6" s="5">
        <v>2376</v>
      </c>
      <c r="Y6" s="5">
        <v>2208</v>
      </c>
      <c r="Z6" s="5">
        <v>2328</v>
      </c>
      <c r="AA6" s="5">
        <v>2208</v>
      </c>
      <c r="AB6" s="5">
        <v>2208</v>
      </c>
      <c r="AC6" s="5">
        <v>2496</v>
      </c>
      <c r="AD6" s="5">
        <v>2376</v>
      </c>
      <c r="AE6" s="5">
        <v>2304</v>
      </c>
      <c r="AF6" s="5">
        <v>2400</v>
      </c>
      <c r="AG6" s="5">
        <v>2280</v>
      </c>
      <c r="AH6" s="5">
        <v>2496</v>
      </c>
      <c r="AI6" s="5">
        <v>2304</v>
      </c>
      <c r="AJ6" s="5">
        <v>2376</v>
      </c>
      <c r="AK6" s="5">
        <v>2208</v>
      </c>
      <c r="AL6" s="5">
        <v>2304</v>
      </c>
    </row>
    <row r="7" spans="1:38" x14ac:dyDescent="0.25">
      <c r="A7" t="s">
        <v>80</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ht="15.75" x14ac:dyDescent="0.25">
      <c r="A8" t="s">
        <v>54</v>
      </c>
      <c r="B8" s="8"/>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ht="15.75" x14ac:dyDescent="0.25">
      <c r="A9" t="s">
        <v>55</v>
      </c>
      <c r="B9" s="9"/>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ht="15.75" x14ac:dyDescent="0.25">
      <c r="A10" t="s">
        <v>56</v>
      </c>
      <c r="B10" s="9"/>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ht="15.75" x14ac:dyDescent="0.25">
      <c r="A11" t="s">
        <v>57</v>
      </c>
      <c r="B11" s="9"/>
      <c r="C11" s="28">
        <f>-(SUM(C24,C25,C30,C31)+SUM(C43:C45)+SUM(C34:C37)+SUM(C47:C49))</f>
        <v>0</v>
      </c>
      <c r="D11" s="28">
        <f>-(SUM(D24,D25,D30,D31)+SUM(D43:D45)+SUM(D34:D37)+SUM(D47:D49))</f>
        <v>0</v>
      </c>
      <c r="E11" s="28">
        <f>-(SUM(E24,E25,E30,E31)+SUM(E43:E45)+SUM(E34:E37)+SUM(E47:E49))</f>
        <v>-190500</v>
      </c>
      <c r="F11" s="28">
        <f t="shared" ref="F11:AL11" si="2">-(SUM(F24,F25,F30,F31)+SUM(F43:F45)+SUM(F34:F37)+SUM(F47:F49))</f>
        <v>-182500</v>
      </c>
      <c r="G11" s="28">
        <f t="shared" si="2"/>
        <v>-257500</v>
      </c>
      <c r="H11" s="28">
        <f t="shared" si="2"/>
        <v>-475500</v>
      </c>
      <c r="I11" s="28">
        <f t="shared" si="2"/>
        <v>-262300</v>
      </c>
      <c r="J11" s="28">
        <f t="shared" si="2"/>
        <v>-125300</v>
      </c>
      <c r="K11" s="28">
        <f t="shared" si="2"/>
        <v>-95300</v>
      </c>
      <c r="L11" s="28">
        <f t="shared" si="2"/>
        <v>-125300</v>
      </c>
      <c r="M11" s="28">
        <f t="shared" si="2"/>
        <v>-95300</v>
      </c>
      <c r="N11" s="28">
        <f t="shared" si="2"/>
        <v>-125300</v>
      </c>
      <c r="O11" s="28">
        <f t="shared" si="2"/>
        <v>-87800</v>
      </c>
      <c r="P11" s="28">
        <f t="shared" si="2"/>
        <v>-87800</v>
      </c>
      <c r="Q11" s="28">
        <f t="shared" si="2"/>
        <v>-87800</v>
      </c>
      <c r="R11" s="28">
        <f t="shared" si="2"/>
        <v>-87800</v>
      </c>
      <c r="S11" s="28">
        <f t="shared" si="2"/>
        <v>-87800</v>
      </c>
      <c r="T11" s="28">
        <f t="shared" si="2"/>
        <v>-87800</v>
      </c>
      <c r="U11" s="28">
        <f t="shared" si="2"/>
        <v>-87800</v>
      </c>
      <c r="V11" s="28">
        <f t="shared" si="2"/>
        <v>-87800</v>
      </c>
      <c r="W11" s="28">
        <f t="shared" si="2"/>
        <v>-87800</v>
      </c>
      <c r="X11" s="28">
        <f t="shared" si="2"/>
        <v>-87800</v>
      </c>
      <c r="Y11" s="28">
        <f t="shared" si="2"/>
        <v>-87800</v>
      </c>
      <c r="Z11" s="28">
        <f t="shared" si="2"/>
        <v>-87800</v>
      </c>
      <c r="AA11" s="28">
        <f t="shared" si="2"/>
        <v>-87800</v>
      </c>
      <c r="AB11" s="28">
        <f t="shared" si="2"/>
        <v>-87800</v>
      </c>
      <c r="AC11" s="28">
        <f t="shared" si="2"/>
        <v>-87800</v>
      </c>
      <c r="AD11" s="28">
        <f t="shared" si="2"/>
        <v>-87800</v>
      </c>
      <c r="AE11" s="28">
        <f t="shared" si="2"/>
        <v>-87800</v>
      </c>
      <c r="AF11" s="28">
        <f t="shared" si="2"/>
        <v>-87800</v>
      </c>
      <c r="AG11" s="28">
        <f t="shared" si="2"/>
        <v>-87800</v>
      </c>
      <c r="AH11" s="28">
        <f t="shared" si="2"/>
        <v>-87800</v>
      </c>
      <c r="AI11" s="28">
        <f t="shared" si="2"/>
        <v>-87800</v>
      </c>
      <c r="AJ11" s="28">
        <f t="shared" si="2"/>
        <v>-87800</v>
      </c>
      <c r="AK11" s="28">
        <f t="shared" si="2"/>
        <v>-87800</v>
      </c>
      <c r="AL11" s="28">
        <f t="shared" si="2"/>
        <v>-87800</v>
      </c>
    </row>
    <row r="12" spans="1:38" ht="15.75" x14ac:dyDescent="0.25">
      <c r="A12" t="s">
        <v>58</v>
      </c>
      <c r="B12" s="7"/>
      <c r="C12" s="28">
        <f>-(SUM(C24,C25,C30,C31)+SUM(C43:C45)+SUM(C34:C36)+SUM(C47:C49))</f>
        <v>0</v>
      </c>
      <c r="D12" s="28">
        <f>-(SUM(D24,D25,D30,D31)+SUM(D43:D45)+SUM(D34:D36)+SUM(D47:D49))</f>
        <v>0</v>
      </c>
      <c r="E12" s="28">
        <f>-(SUM(E24,E25,E30,E31)+SUM(E43:E45)+SUM(E34:E36)+SUM(E47:E49))</f>
        <v>-190500</v>
      </c>
      <c r="F12" s="28">
        <f t="shared" ref="F12:Z12" si="3">-(SUM(F24,F25,F30,F31)+SUM(F43:F45)+SUM(F34:F36)+SUM(F47:F49))</f>
        <v>-182500</v>
      </c>
      <c r="G12" s="28">
        <f t="shared" si="3"/>
        <v>-257500</v>
      </c>
      <c r="H12" s="28">
        <f t="shared" si="3"/>
        <v>-475500</v>
      </c>
      <c r="I12" s="28">
        <f t="shared" si="3"/>
        <v>-260300</v>
      </c>
      <c r="J12" s="28">
        <f t="shared" si="3"/>
        <v>-123300</v>
      </c>
      <c r="K12" s="28">
        <f t="shared" si="3"/>
        <v>-93300</v>
      </c>
      <c r="L12" s="28">
        <f t="shared" si="3"/>
        <v>-123300</v>
      </c>
      <c r="M12" s="28">
        <f t="shared" si="3"/>
        <v>-93300</v>
      </c>
      <c r="N12" s="28">
        <f t="shared" si="3"/>
        <v>-123300</v>
      </c>
      <c r="O12" s="28">
        <f t="shared" si="3"/>
        <v>-85800</v>
      </c>
      <c r="P12" s="28">
        <f t="shared" si="3"/>
        <v>-85800</v>
      </c>
      <c r="Q12" s="28">
        <f t="shared" si="3"/>
        <v>-85800</v>
      </c>
      <c r="R12" s="28">
        <f t="shared" si="3"/>
        <v>-85800</v>
      </c>
      <c r="S12" s="28">
        <f t="shared" si="3"/>
        <v>-85800</v>
      </c>
      <c r="T12" s="28">
        <f t="shared" si="3"/>
        <v>-85800</v>
      </c>
      <c r="U12" s="28">
        <f t="shared" si="3"/>
        <v>-85800</v>
      </c>
      <c r="V12" s="28">
        <f t="shared" si="3"/>
        <v>-85800</v>
      </c>
      <c r="W12" s="28">
        <f t="shared" si="3"/>
        <v>-85800</v>
      </c>
      <c r="X12" s="28">
        <f t="shared" si="3"/>
        <v>-85800</v>
      </c>
      <c r="Y12" s="28">
        <f t="shared" si="3"/>
        <v>-85800</v>
      </c>
      <c r="Z12" s="28">
        <f t="shared" si="3"/>
        <v>-85800</v>
      </c>
      <c r="AA12" s="28">
        <f t="shared" ref="AA12:AL12" si="4">-(SUM(AA24,AA25,AA30,AA31)+SUM(AA43:AA45)+SUM(AA34:AA36)+SUM(AA47:AA49))</f>
        <v>-85800</v>
      </c>
      <c r="AB12" s="28">
        <f t="shared" si="4"/>
        <v>-85800</v>
      </c>
      <c r="AC12" s="28">
        <f t="shared" si="4"/>
        <v>-85800</v>
      </c>
      <c r="AD12" s="28">
        <f t="shared" si="4"/>
        <v>-85800</v>
      </c>
      <c r="AE12" s="28">
        <f t="shared" si="4"/>
        <v>-85800</v>
      </c>
      <c r="AF12" s="28">
        <f t="shared" si="4"/>
        <v>-85800</v>
      </c>
      <c r="AG12" s="28">
        <f t="shared" si="4"/>
        <v>-85800</v>
      </c>
      <c r="AH12" s="28">
        <f t="shared" si="4"/>
        <v>-85800</v>
      </c>
      <c r="AI12" s="28">
        <f t="shared" si="4"/>
        <v>-85800</v>
      </c>
      <c r="AJ12" s="28">
        <f t="shared" si="4"/>
        <v>-85800</v>
      </c>
      <c r="AK12" s="28">
        <f t="shared" si="4"/>
        <v>-85800</v>
      </c>
      <c r="AL12" s="28">
        <f t="shared" si="4"/>
        <v>-85800</v>
      </c>
    </row>
    <row r="13" spans="1:38" ht="15.75" x14ac:dyDescent="0.25">
      <c r="A13" t="s">
        <v>59</v>
      </c>
      <c r="B13" s="7"/>
      <c r="C13" s="28">
        <f>-(SUM(C24,C25,C30,C31)+SUM(C43:C45)+SUM(C34:C36)+SUM(C47:C49))</f>
        <v>0</v>
      </c>
      <c r="D13" s="28">
        <f>-(SUM(D24,D25,D30,D31)+SUM(D43:D45)+SUM(D34:D36)+SUM(D47:D49))</f>
        <v>0</v>
      </c>
      <c r="E13" s="28">
        <f>-(SUM(E24,E25,E30,E31)+SUM(E43:E45)+SUM(E34:E36)+SUM(E47:E49))</f>
        <v>-190500</v>
      </c>
      <c r="F13" s="28">
        <f t="shared" ref="F13:Z13" si="5">-(SUM(F24,F25,F30,F31)+SUM(F43:F45)+SUM(F34:F36)+SUM(F47:F49))</f>
        <v>-182500</v>
      </c>
      <c r="G13" s="28">
        <f t="shared" si="5"/>
        <v>-257500</v>
      </c>
      <c r="H13" s="28">
        <f t="shared" si="5"/>
        <v>-475500</v>
      </c>
      <c r="I13" s="28">
        <f t="shared" si="5"/>
        <v>-260300</v>
      </c>
      <c r="J13" s="28">
        <f t="shared" si="5"/>
        <v>-123300</v>
      </c>
      <c r="K13" s="28">
        <f t="shared" si="5"/>
        <v>-93300</v>
      </c>
      <c r="L13" s="28">
        <f t="shared" si="5"/>
        <v>-123300</v>
      </c>
      <c r="M13" s="28">
        <f t="shared" si="5"/>
        <v>-93300</v>
      </c>
      <c r="N13" s="28">
        <f t="shared" si="5"/>
        <v>-123300</v>
      </c>
      <c r="O13" s="28">
        <f t="shared" si="5"/>
        <v>-85800</v>
      </c>
      <c r="P13" s="28">
        <f t="shared" si="5"/>
        <v>-85800</v>
      </c>
      <c r="Q13" s="28">
        <f t="shared" si="5"/>
        <v>-85800</v>
      </c>
      <c r="R13" s="28">
        <f t="shared" si="5"/>
        <v>-85800</v>
      </c>
      <c r="S13" s="28">
        <f t="shared" si="5"/>
        <v>-85800</v>
      </c>
      <c r="T13" s="28">
        <f t="shared" si="5"/>
        <v>-85800</v>
      </c>
      <c r="U13" s="28">
        <f t="shared" si="5"/>
        <v>-85800</v>
      </c>
      <c r="V13" s="28">
        <f t="shared" si="5"/>
        <v>-85800</v>
      </c>
      <c r="W13" s="28">
        <f t="shared" si="5"/>
        <v>-85800</v>
      </c>
      <c r="X13" s="28">
        <f t="shared" si="5"/>
        <v>-85800</v>
      </c>
      <c r="Y13" s="28">
        <f t="shared" si="5"/>
        <v>-85800</v>
      </c>
      <c r="Z13" s="28">
        <f t="shared" si="5"/>
        <v>-85800</v>
      </c>
      <c r="AA13" s="28">
        <f t="shared" ref="AA13:AL13" si="6">-(SUM(AA24,AA25,AA30,AA31)+SUM(AA43:AA45)+SUM(AA34:AA36)+SUM(AA47:AA49))</f>
        <v>-85800</v>
      </c>
      <c r="AB13" s="28">
        <f t="shared" si="6"/>
        <v>-85800</v>
      </c>
      <c r="AC13" s="28">
        <f t="shared" si="6"/>
        <v>-85800</v>
      </c>
      <c r="AD13" s="28">
        <f t="shared" si="6"/>
        <v>-85800</v>
      </c>
      <c r="AE13" s="28">
        <f t="shared" si="6"/>
        <v>-85800</v>
      </c>
      <c r="AF13" s="28">
        <f t="shared" si="6"/>
        <v>-85800</v>
      </c>
      <c r="AG13" s="28">
        <f t="shared" si="6"/>
        <v>-85800</v>
      </c>
      <c r="AH13" s="28">
        <f t="shared" si="6"/>
        <v>-85800</v>
      </c>
      <c r="AI13" s="28">
        <f t="shared" si="6"/>
        <v>-85800</v>
      </c>
      <c r="AJ13" s="28">
        <f t="shared" si="6"/>
        <v>-85800</v>
      </c>
      <c r="AK13" s="28">
        <f t="shared" si="6"/>
        <v>-85800</v>
      </c>
      <c r="AL13" s="28">
        <f t="shared" si="6"/>
        <v>-85800</v>
      </c>
    </row>
    <row r="14" spans="1:38" ht="15.75" x14ac:dyDescent="0.25">
      <c r="A14" t="s">
        <v>60</v>
      </c>
      <c r="B14" s="7"/>
      <c r="C14" s="28">
        <f>-(SUM(C24,C25,C30,C31)+SUM(C43:C45)+SUM(C34:C36)+SUM(C47:C49))-C21-C42</f>
        <v>0</v>
      </c>
      <c r="D14" s="28">
        <f>-(SUM(D24,D25,D30,D31)+SUM(D43:D45)+SUM(D34:D36)+SUM(D47:D49))-D21-D42</f>
        <v>-5000</v>
      </c>
      <c r="E14" s="28">
        <f>-(SUM(E24,E25,E30,E31)+SUM(E43:E45)+SUM(E34:E36)+SUM(E47:E49))-E21-E42</f>
        <v>-365500</v>
      </c>
      <c r="F14" s="28">
        <f t="shared" ref="F14:Z14" si="7">-(SUM(F24,F25,F30,F31)+SUM(F43:F45)+SUM(F34:F36)+SUM(F47:F49))-F21-F42</f>
        <v>-182500</v>
      </c>
      <c r="G14" s="28">
        <f t="shared" si="7"/>
        <v>-257500</v>
      </c>
      <c r="H14" s="28">
        <f t="shared" si="7"/>
        <v>-475500</v>
      </c>
      <c r="I14" s="28">
        <f t="shared" si="7"/>
        <v>-260300</v>
      </c>
      <c r="J14" s="28">
        <f t="shared" si="7"/>
        <v>-123300</v>
      </c>
      <c r="K14" s="28">
        <f t="shared" si="7"/>
        <v>-93300</v>
      </c>
      <c r="L14" s="28">
        <f t="shared" si="7"/>
        <v>-123300</v>
      </c>
      <c r="M14" s="28">
        <f t="shared" si="7"/>
        <v>-93300</v>
      </c>
      <c r="N14" s="28">
        <f t="shared" si="7"/>
        <v>-123300</v>
      </c>
      <c r="O14" s="28">
        <f t="shared" si="7"/>
        <v>-85800</v>
      </c>
      <c r="P14" s="28">
        <f t="shared" si="7"/>
        <v>-85800</v>
      </c>
      <c r="Q14" s="28">
        <f t="shared" si="7"/>
        <v>-85800</v>
      </c>
      <c r="R14" s="28">
        <f t="shared" si="7"/>
        <v>-85800</v>
      </c>
      <c r="S14" s="28">
        <f t="shared" si="7"/>
        <v>-85800</v>
      </c>
      <c r="T14" s="28">
        <f t="shared" si="7"/>
        <v>-85800</v>
      </c>
      <c r="U14" s="28">
        <f t="shared" si="7"/>
        <v>-85800</v>
      </c>
      <c r="V14" s="28">
        <f t="shared" si="7"/>
        <v>-85800</v>
      </c>
      <c r="W14" s="28">
        <f t="shared" si="7"/>
        <v>-85800</v>
      </c>
      <c r="X14" s="28">
        <f t="shared" si="7"/>
        <v>-85800</v>
      </c>
      <c r="Y14" s="28">
        <f t="shared" si="7"/>
        <v>-85800</v>
      </c>
      <c r="Z14" s="28">
        <f t="shared" si="7"/>
        <v>-85800</v>
      </c>
      <c r="AA14" s="28">
        <f t="shared" ref="AA14:AL14" si="8">-(SUM(AA24,AA25,AA30,AA31)+SUM(AA43:AA45)+SUM(AA34:AA36)+SUM(AA47:AA49))-AA21-AA42</f>
        <v>-85800</v>
      </c>
      <c r="AB14" s="28">
        <f t="shared" si="8"/>
        <v>-85800</v>
      </c>
      <c r="AC14" s="28">
        <f t="shared" si="8"/>
        <v>-85800</v>
      </c>
      <c r="AD14" s="28">
        <f t="shared" si="8"/>
        <v>-85800</v>
      </c>
      <c r="AE14" s="28">
        <f t="shared" si="8"/>
        <v>-85800</v>
      </c>
      <c r="AF14" s="28">
        <f t="shared" si="8"/>
        <v>-85800</v>
      </c>
      <c r="AG14" s="28">
        <f t="shared" si="8"/>
        <v>-85800</v>
      </c>
      <c r="AH14" s="28">
        <f t="shared" si="8"/>
        <v>-85800</v>
      </c>
      <c r="AI14" s="28">
        <f t="shared" si="8"/>
        <v>-85800</v>
      </c>
      <c r="AJ14" s="28">
        <f t="shared" si="8"/>
        <v>-85800</v>
      </c>
      <c r="AK14" s="28">
        <f t="shared" si="8"/>
        <v>-85800</v>
      </c>
      <c r="AL14" s="28">
        <f t="shared" si="8"/>
        <v>-85800</v>
      </c>
    </row>
    <row r="15" spans="1:38" ht="15.75" x14ac:dyDescent="0.25">
      <c r="A15" t="s">
        <v>61</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7" spans="1:38" x14ac:dyDescent="0.25">
      <c r="A17" t="s">
        <v>13</v>
      </c>
      <c r="G17">
        <v>0</v>
      </c>
      <c r="H17">
        <v>0</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row>
    <row r="18" spans="1:38" x14ac:dyDescent="0.25">
      <c r="A18" t="s">
        <v>14</v>
      </c>
      <c r="G18">
        <v>0</v>
      </c>
      <c r="H18">
        <v>0</v>
      </c>
      <c r="I18">
        <v>10</v>
      </c>
      <c r="J18">
        <v>10</v>
      </c>
      <c r="K18">
        <v>10</v>
      </c>
      <c r="L18">
        <v>10</v>
      </c>
      <c r="M18">
        <v>10</v>
      </c>
      <c r="N18">
        <v>10</v>
      </c>
      <c r="O18">
        <v>10</v>
      </c>
      <c r="P18">
        <v>10</v>
      </c>
      <c r="Q18">
        <v>10</v>
      </c>
      <c r="R18">
        <v>10</v>
      </c>
      <c r="S18">
        <v>10</v>
      </c>
      <c r="T18">
        <v>10</v>
      </c>
      <c r="U18">
        <v>10</v>
      </c>
      <c r="V18">
        <v>10</v>
      </c>
      <c r="W18">
        <v>10</v>
      </c>
      <c r="X18">
        <v>10</v>
      </c>
      <c r="Y18">
        <v>10</v>
      </c>
      <c r="Z18">
        <v>10</v>
      </c>
      <c r="AA18">
        <v>10</v>
      </c>
      <c r="AB18">
        <v>10</v>
      </c>
      <c r="AC18">
        <v>10</v>
      </c>
      <c r="AD18">
        <v>10</v>
      </c>
      <c r="AE18">
        <v>10</v>
      </c>
      <c r="AF18">
        <v>10</v>
      </c>
      <c r="AG18">
        <v>10</v>
      </c>
      <c r="AH18">
        <v>10</v>
      </c>
      <c r="AI18">
        <v>10</v>
      </c>
      <c r="AJ18">
        <v>10</v>
      </c>
      <c r="AK18">
        <v>10</v>
      </c>
      <c r="AL18">
        <v>10</v>
      </c>
    </row>
    <row r="20" spans="1:38" x14ac:dyDescent="0.25">
      <c r="A20" t="s">
        <v>11</v>
      </c>
    </row>
    <row r="21" spans="1:38" x14ac:dyDescent="0.25">
      <c r="A21" s="11" t="s">
        <v>8</v>
      </c>
      <c r="D21">
        <v>0</v>
      </c>
      <c r="E21">
        <f>E23-E22</f>
        <v>175000</v>
      </c>
    </row>
    <row r="22" spans="1:38" x14ac:dyDescent="0.25">
      <c r="A22" s="49" t="s">
        <v>116</v>
      </c>
      <c r="E22">
        <v>500000</v>
      </c>
    </row>
    <row r="23" spans="1:38" x14ac:dyDescent="0.25">
      <c r="A23" s="49" t="s">
        <v>117</v>
      </c>
      <c r="E23">
        <v>675000</v>
      </c>
    </row>
    <row r="24" spans="1:38" x14ac:dyDescent="0.25">
      <c r="A24" s="11" t="s">
        <v>9</v>
      </c>
      <c r="E24">
        <v>100000</v>
      </c>
      <c r="F24">
        <v>150000</v>
      </c>
      <c r="G24">
        <v>150000</v>
      </c>
      <c r="H24">
        <v>100000</v>
      </c>
    </row>
    <row r="25" spans="1:38" x14ac:dyDescent="0.25">
      <c r="A25" s="11" t="s">
        <v>10</v>
      </c>
      <c r="C25">
        <f>SUM(C26:C29)</f>
        <v>0</v>
      </c>
      <c r="D25">
        <f t="shared" ref="D25:Z25" si="9">SUM(D26:D29)</f>
        <v>0</v>
      </c>
      <c r="E25">
        <f t="shared" si="9"/>
        <v>0</v>
      </c>
      <c r="F25">
        <f t="shared" si="9"/>
        <v>0</v>
      </c>
      <c r="G25">
        <f t="shared" si="9"/>
        <v>0</v>
      </c>
      <c r="H25">
        <f t="shared" si="9"/>
        <v>268000</v>
      </c>
      <c r="I25">
        <f t="shared" si="9"/>
        <v>142000</v>
      </c>
      <c r="J25">
        <f t="shared" si="9"/>
        <v>30000</v>
      </c>
      <c r="K25">
        <f t="shared" si="9"/>
        <v>0</v>
      </c>
      <c r="L25">
        <f t="shared" si="9"/>
        <v>30000</v>
      </c>
      <c r="M25">
        <f t="shared" si="9"/>
        <v>0</v>
      </c>
      <c r="N25">
        <f t="shared" si="9"/>
        <v>30000</v>
      </c>
      <c r="O25">
        <f t="shared" si="9"/>
        <v>0</v>
      </c>
      <c r="P25">
        <f t="shared" si="9"/>
        <v>0</v>
      </c>
      <c r="Q25">
        <f t="shared" si="9"/>
        <v>0</v>
      </c>
      <c r="R25">
        <f t="shared" si="9"/>
        <v>0</v>
      </c>
      <c r="S25">
        <f t="shared" si="9"/>
        <v>0</v>
      </c>
      <c r="T25">
        <f t="shared" si="9"/>
        <v>0</v>
      </c>
      <c r="U25">
        <f t="shared" si="9"/>
        <v>0</v>
      </c>
      <c r="V25">
        <f t="shared" si="9"/>
        <v>0</v>
      </c>
      <c r="W25">
        <f t="shared" si="9"/>
        <v>0</v>
      </c>
      <c r="X25">
        <f t="shared" si="9"/>
        <v>0</v>
      </c>
      <c r="Y25">
        <f t="shared" si="9"/>
        <v>0</v>
      </c>
      <c r="Z25">
        <f t="shared" si="9"/>
        <v>0</v>
      </c>
    </row>
    <row r="26" spans="1:38" s="38" customFormat="1" x14ac:dyDescent="0.25">
      <c r="A26" s="37" t="s">
        <v>49</v>
      </c>
      <c r="H26" s="38">
        <v>90000</v>
      </c>
      <c r="J26" s="38">
        <v>30000</v>
      </c>
      <c r="L26" s="38">
        <v>30000</v>
      </c>
      <c r="N26" s="38">
        <v>30000</v>
      </c>
    </row>
    <row r="27" spans="1:38" s="38" customFormat="1" x14ac:dyDescent="0.25">
      <c r="A27" s="37" t="s">
        <v>48</v>
      </c>
      <c r="H27" s="38">
        <v>63000</v>
      </c>
      <c r="I27" s="38">
        <v>42000</v>
      </c>
    </row>
    <row r="28" spans="1:38" s="38" customFormat="1" x14ac:dyDescent="0.25">
      <c r="A28" s="37" t="s">
        <v>46</v>
      </c>
      <c r="H28" s="38">
        <f>15000</f>
        <v>15000</v>
      </c>
    </row>
    <row r="29" spans="1:38" s="38" customFormat="1" x14ac:dyDescent="0.25">
      <c r="A29" s="37" t="s">
        <v>47</v>
      </c>
      <c r="H29" s="38">
        <v>100000</v>
      </c>
      <c r="I29" s="38">
        <v>100000</v>
      </c>
    </row>
    <row r="30" spans="1:38" x14ac:dyDescent="0.25">
      <c r="A30" s="11" t="s">
        <v>12</v>
      </c>
      <c r="G30">
        <v>75000</v>
      </c>
      <c r="H30">
        <v>75000</v>
      </c>
    </row>
    <row r="31" spans="1:38" x14ac:dyDescent="0.25">
      <c r="A31" s="11" t="s">
        <v>50</v>
      </c>
      <c r="F31">
        <v>25000</v>
      </c>
      <c r="G31">
        <v>25000</v>
      </c>
      <c r="H31">
        <v>25000</v>
      </c>
      <c r="I31">
        <v>25000</v>
      </c>
    </row>
    <row r="32" spans="1:38" x14ac:dyDescent="0.25">
      <c r="A32" s="11"/>
    </row>
    <row r="33" spans="1:38" x14ac:dyDescent="0.25">
      <c r="A33" t="s">
        <v>20</v>
      </c>
    </row>
    <row r="34" spans="1:38" x14ac:dyDescent="0.25">
      <c r="A34" s="11" t="s">
        <v>21</v>
      </c>
      <c r="E34">
        <v>79000</v>
      </c>
    </row>
    <row r="35" spans="1:38" x14ac:dyDescent="0.25">
      <c r="A35" s="11" t="s">
        <v>22</v>
      </c>
      <c r="I35">
        <v>78000</v>
      </c>
      <c r="J35">
        <f>I35</f>
        <v>78000</v>
      </c>
      <c r="K35">
        <f t="shared" ref="K35:AL36" si="10">J35</f>
        <v>78000</v>
      </c>
      <c r="L35">
        <f t="shared" si="10"/>
        <v>78000</v>
      </c>
      <c r="M35">
        <f t="shared" si="10"/>
        <v>78000</v>
      </c>
      <c r="N35">
        <f t="shared" si="10"/>
        <v>78000</v>
      </c>
      <c r="O35">
        <f t="shared" si="10"/>
        <v>78000</v>
      </c>
      <c r="P35">
        <f t="shared" si="10"/>
        <v>78000</v>
      </c>
      <c r="Q35">
        <f t="shared" si="10"/>
        <v>78000</v>
      </c>
      <c r="R35">
        <f t="shared" si="10"/>
        <v>78000</v>
      </c>
      <c r="S35">
        <f t="shared" si="10"/>
        <v>78000</v>
      </c>
      <c r="T35">
        <f t="shared" si="10"/>
        <v>78000</v>
      </c>
      <c r="U35">
        <f t="shared" si="10"/>
        <v>78000</v>
      </c>
      <c r="V35">
        <f t="shared" si="10"/>
        <v>78000</v>
      </c>
      <c r="W35">
        <f t="shared" si="10"/>
        <v>78000</v>
      </c>
      <c r="X35">
        <f t="shared" si="10"/>
        <v>78000</v>
      </c>
      <c r="Y35">
        <f t="shared" si="10"/>
        <v>78000</v>
      </c>
      <c r="Z35">
        <f t="shared" si="10"/>
        <v>78000</v>
      </c>
      <c r="AA35">
        <f t="shared" si="10"/>
        <v>78000</v>
      </c>
      <c r="AB35">
        <f t="shared" si="10"/>
        <v>78000</v>
      </c>
      <c r="AC35">
        <f t="shared" si="10"/>
        <v>78000</v>
      </c>
      <c r="AD35">
        <f t="shared" si="10"/>
        <v>78000</v>
      </c>
      <c r="AE35">
        <f t="shared" si="10"/>
        <v>78000</v>
      </c>
      <c r="AF35">
        <f t="shared" si="10"/>
        <v>78000</v>
      </c>
      <c r="AG35">
        <f t="shared" si="10"/>
        <v>78000</v>
      </c>
      <c r="AH35">
        <f t="shared" si="10"/>
        <v>78000</v>
      </c>
      <c r="AI35">
        <f t="shared" si="10"/>
        <v>78000</v>
      </c>
      <c r="AJ35">
        <f t="shared" si="10"/>
        <v>78000</v>
      </c>
      <c r="AK35">
        <f t="shared" si="10"/>
        <v>78000</v>
      </c>
      <c r="AL35">
        <f t="shared" si="10"/>
        <v>78000</v>
      </c>
    </row>
    <row r="36" spans="1:38" x14ac:dyDescent="0.25">
      <c r="A36" s="11" t="s">
        <v>23</v>
      </c>
      <c r="I36">
        <f>0.1*I35</f>
        <v>7800</v>
      </c>
      <c r="J36">
        <f>I36</f>
        <v>7800</v>
      </c>
      <c r="K36">
        <f t="shared" si="10"/>
        <v>7800</v>
      </c>
      <c r="L36">
        <f t="shared" si="10"/>
        <v>7800</v>
      </c>
      <c r="M36">
        <f t="shared" si="10"/>
        <v>7800</v>
      </c>
      <c r="N36">
        <f t="shared" si="10"/>
        <v>7800</v>
      </c>
      <c r="O36">
        <f t="shared" si="10"/>
        <v>7800</v>
      </c>
      <c r="P36">
        <f t="shared" si="10"/>
        <v>7800</v>
      </c>
      <c r="Q36">
        <f t="shared" si="10"/>
        <v>7800</v>
      </c>
      <c r="R36">
        <f t="shared" si="10"/>
        <v>7800</v>
      </c>
      <c r="S36">
        <f t="shared" si="10"/>
        <v>7800</v>
      </c>
      <c r="T36">
        <f t="shared" si="10"/>
        <v>7800</v>
      </c>
      <c r="U36">
        <f t="shared" si="10"/>
        <v>7800</v>
      </c>
      <c r="V36">
        <f t="shared" si="10"/>
        <v>7800</v>
      </c>
      <c r="W36">
        <f t="shared" si="10"/>
        <v>7800</v>
      </c>
      <c r="X36">
        <f t="shared" si="10"/>
        <v>7800</v>
      </c>
      <c r="Y36">
        <f t="shared" si="10"/>
        <v>7800</v>
      </c>
      <c r="Z36">
        <f t="shared" si="10"/>
        <v>7800</v>
      </c>
      <c r="AA36">
        <f t="shared" si="10"/>
        <v>7800</v>
      </c>
      <c r="AB36">
        <f t="shared" si="10"/>
        <v>7800</v>
      </c>
      <c r="AC36">
        <f t="shared" si="10"/>
        <v>7800</v>
      </c>
      <c r="AD36">
        <f t="shared" si="10"/>
        <v>7800</v>
      </c>
      <c r="AE36">
        <f t="shared" si="10"/>
        <v>7800</v>
      </c>
      <c r="AF36">
        <f t="shared" si="10"/>
        <v>7800</v>
      </c>
      <c r="AG36">
        <f t="shared" si="10"/>
        <v>7800</v>
      </c>
      <c r="AH36">
        <f t="shared" si="10"/>
        <v>7800</v>
      </c>
      <c r="AI36">
        <f t="shared" si="10"/>
        <v>7800</v>
      </c>
      <c r="AJ36">
        <f t="shared" si="10"/>
        <v>7800</v>
      </c>
      <c r="AK36">
        <f t="shared" si="10"/>
        <v>7800</v>
      </c>
      <c r="AL36">
        <f t="shared" si="10"/>
        <v>7800</v>
      </c>
    </row>
    <row r="37" spans="1:38" x14ac:dyDescent="0.25">
      <c r="A37" s="11" t="s">
        <v>63</v>
      </c>
      <c r="I37">
        <v>2000</v>
      </c>
      <c r="J37">
        <v>2000</v>
      </c>
      <c r="K37">
        <v>2000</v>
      </c>
      <c r="L37">
        <v>2000</v>
      </c>
      <c r="M37">
        <v>2000</v>
      </c>
      <c r="N37">
        <v>2000</v>
      </c>
      <c r="O37">
        <v>2000</v>
      </c>
      <c r="P37">
        <v>2000</v>
      </c>
      <c r="Q37">
        <v>2000</v>
      </c>
      <c r="R37">
        <v>2000</v>
      </c>
      <c r="S37">
        <v>2000</v>
      </c>
      <c r="T37">
        <v>2000</v>
      </c>
      <c r="U37">
        <v>2000</v>
      </c>
      <c r="V37">
        <v>2000</v>
      </c>
      <c r="W37">
        <v>2000</v>
      </c>
      <c r="X37">
        <v>2000</v>
      </c>
      <c r="Y37">
        <v>2000</v>
      </c>
      <c r="Z37">
        <v>2000</v>
      </c>
      <c r="AA37">
        <v>2000</v>
      </c>
      <c r="AB37">
        <v>2000</v>
      </c>
      <c r="AC37">
        <v>2000</v>
      </c>
      <c r="AD37">
        <v>2000</v>
      </c>
      <c r="AE37">
        <v>2000</v>
      </c>
      <c r="AF37">
        <v>2000</v>
      </c>
      <c r="AG37">
        <v>2000</v>
      </c>
      <c r="AH37">
        <v>2000</v>
      </c>
      <c r="AI37">
        <v>2000</v>
      </c>
      <c r="AJ37">
        <v>2000</v>
      </c>
      <c r="AK37">
        <v>2000</v>
      </c>
      <c r="AL37">
        <v>2000</v>
      </c>
    </row>
    <row r="38" spans="1:38" x14ac:dyDescent="0.25">
      <c r="A38" s="11"/>
    </row>
    <row r="39" spans="1:38" x14ac:dyDescent="0.25">
      <c r="A39" s="11"/>
    </row>
    <row r="41" spans="1:38" x14ac:dyDescent="0.25">
      <c r="A41" t="s">
        <v>24</v>
      </c>
    </row>
    <row r="42" spans="1:38" x14ac:dyDescent="0.25">
      <c r="A42" s="11" t="s">
        <v>8</v>
      </c>
      <c r="D42">
        <v>5000</v>
      </c>
    </row>
    <row r="43" spans="1:38" x14ac:dyDescent="0.25">
      <c r="A43" s="11" t="s">
        <v>9</v>
      </c>
    </row>
    <row r="44" spans="1:38" x14ac:dyDescent="0.25">
      <c r="A44" s="11" t="s">
        <v>10</v>
      </c>
      <c r="D44">
        <v>0</v>
      </c>
      <c r="E44">
        <v>2000</v>
      </c>
    </row>
    <row r="45" spans="1:38" x14ac:dyDescent="0.25">
      <c r="A45" s="11" t="s">
        <v>12</v>
      </c>
      <c r="D45">
        <v>0</v>
      </c>
      <c r="E45">
        <v>2000</v>
      </c>
    </row>
    <row r="46" spans="1:38" x14ac:dyDescent="0.25">
      <c r="A46" t="s">
        <v>25</v>
      </c>
    </row>
    <row r="47" spans="1:38" x14ac:dyDescent="0.25">
      <c r="A47" s="11" t="s">
        <v>21</v>
      </c>
    </row>
    <row r="48" spans="1:38" x14ac:dyDescent="0.25">
      <c r="A48" s="11" t="s">
        <v>22</v>
      </c>
      <c r="D48">
        <v>0</v>
      </c>
      <c r="E48">
        <v>7500</v>
      </c>
      <c r="F48">
        <v>7500</v>
      </c>
      <c r="G48">
        <v>7500</v>
      </c>
      <c r="H48">
        <v>7500</v>
      </c>
      <c r="I48">
        <v>7500</v>
      </c>
      <c r="J48">
        <v>7500</v>
      </c>
      <c r="K48">
        <v>7500</v>
      </c>
      <c r="L48">
        <v>7500</v>
      </c>
      <c r="M48">
        <v>7500</v>
      </c>
      <c r="N48">
        <v>7500</v>
      </c>
    </row>
    <row r="49" spans="1:1" x14ac:dyDescent="0.25">
      <c r="A49" s="11" t="s">
        <v>23</v>
      </c>
    </row>
    <row r="52" spans="1:1" x14ac:dyDescent="0.25">
      <c r="A52" t="s">
        <v>65</v>
      </c>
    </row>
    <row r="53" spans="1:1" x14ac:dyDescent="0.25">
      <c r="A53" t="s">
        <v>75</v>
      </c>
    </row>
    <row r="55" spans="1:1" x14ac:dyDescent="0.25">
      <c r="A55" t="s">
        <v>76</v>
      </c>
    </row>
    <row r="57" spans="1:1" x14ac:dyDescent="0.25">
      <c r="A57" t="s">
        <v>77</v>
      </c>
    </row>
    <row r="59" spans="1:1" x14ac:dyDescent="0.25">
      <c r="A59" t="s">
        <v>78</v>
      </c>
    </row>
    <row r="60" spans="1:1" x14ac:dyDescent="0.25">
      <c r="A60" s="40" t="s">
        <v>69</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7EF3-CA2E-544C-A2E1-29A46E406D30}">
  <sheetPr>
    <tabColor theme="5"/>
  </sheetPr>
  <dimension ref="A1:AE114"/>
  <sheetViews>
    <sheetView topLeftCell="A66" zoomScale="110" zoomScaleNormal="110" workbookViewId="0">
      <selection activeCell="A92" sqref="A92:XFD92"/>
    </sheetView>
  </sheetViews>
  <sheetFormatPr defaultColWidth="11.42578125" defaultRowHeight="15" x14ac:dyDescent="0.25"/>
  <cols>
    <col min="1" max="1" width="24.140625" customWidth="1"/>
    <col min="2" max="2" width="14.85546875" customWidth="1"/>
    <col min="3" max="3" width="14.140625" bestFit="1" customWidth="1"/>
    <col min="4" max="4" width="13.28515625" customWidth="1"/>
    <col min="5" max="26" width="13.7109375" bestFit="1" customWidth="1"/>
  </cols>
  <sheetData>
    <row r="1" spans="1:26" x14ac:dyDescent="0.25">
      <c r="A1" t="s">
        <v>128</v>
      </c>
      <c r="B1" t="s">
        <v>129</v>
      </c>
      <c r="C1" s="59" t="s">
        <v>130</v>
      </c>
      <c r="D1" s="59" t="s">
        <v>131</v>
      </c>
      <c r="E1" s="59"/>
      <c r="F1" s="59" t="s">
        <v>130</v>
      </c>
      <c r="G1" s="59" t="s">
        <v>131</v>
      </c>
      <c r="H1" s="59" t="s">
        <v>132</v>
      </c>
    </row>
    <row r="2" spans="1:26" x14ac:dyDescent="0.25">
      <c r="A2" s="13">
        <v>1</v>
      </c>
      <c r="B2">
        <v>700</v>
      </c>
      <c r="C2">
        <f>B2+($A2*$B2/COUNTA($C$1:$D$1))</f>
        <v>1050</v>
      </c>
      <c r="D2">
        <f>C2+($A2*$B2/COUNTA($C$1:$D$1))</f>
        <v>1400</v>
      </c>
      <c r="F2" s="48">
        <f>B2+($A2*$B2/COUNTA($F$1:$H$1))</f>
        <v>933.33333333333337</v>
      </c>
      <c r="G2" s="48">
        <f>F2+($A2*$B2/COUNTA($F$1:$H$1))</f>
        <v>1166.6666666666667</v>
      </c>
      <c r="H2">
        <f>G2+($A2*$B2/COUNTA($F$1:$H$1))</f>
        <v>1400</v>
      </c>
    </row>
    <row r="3" spans="1:26" x14ac:dyDescent="0.25">
      <c r="A3" s="13">
        <v>2</v>
      </c>
      <c r="B3">
        <v>700</v>
      </c>
      <c r="C3">
        <f t="shared" ref="C3:D4" si="0">B3+($A3*$B3/COUNTA($C$1:$D$1))</f>
        <v>1400</v>
      </c>
      <c r="D3">
        <f t="shared" si="0"/>
        <v>2100</v>
      </c>
      <c r="F3" s="48">
        <f t="shared" ref="F3:F4" si="1">B3+($A3*$B3/COUNTA($F$1:$H$1))</f>
        <v>1166.6666666666667</v>
      </c>
      <c r="G3" s="48">
        <f t="shared" ref="G3:H3" si="2">F3+($A3*$B3/COUNTA($F$1:$H$1))</f>
        <v>1633.3333333333335</v>
      </c>
      <c r="H3">
        <f t="shared" si="2"/>
        <v>2100</v>
      </c>
    </row>
    <row r="4" spans="1:26" x14ac:dyDescent="0.25">
      <c r="A4" s="13">
        <v>3</v>
      </c>
      <c r="B4">
        <v>700</v>
      </c>
      <c r="C4">
        <f t="shared" si="0"/>
        <v>1750</v>
      </c>
      <c r="D4">
        <f t="shared" si="0"/>
        <v>2800</v>
      </c>
      <c r="F4" s="48">
        <f t="shared" si="1"/>
        <v>1400</v>
      </c>
      <c r="G4" s="48">
        <f t="shared" ref="G4:H4" si="3">F4+($A4*$B4/COUNTA($F$1:$H$1))</f>
        <v>2100</v>
      </c>
      <c r="H4">
        <f t="shared" si="3"/>
        <v>2800</v>
      </c>
    </row>
    <row r="8" spans="1:26" x14ac:dyDescent="0.25">
      <c r="A8" t="s">
        <v>133</v>
      </c>
      <c r="B8" t="s">
        <v>129</v>
      </c>
      <c r="C8" s="59" t="s">
        <v>134</v>
      </c>
      <c r="D8" s="59" t="s">
        <v>135</v>
      </c>
      <c r="E8" s="59" t="s">
        <v>136</v>
      </c>
      <c r="F8" s="59" t="s">
        <v>137</v>
      </c>
      <c r="G8" s="59" t="s">
        <v>138</v>
      </c>
      <c r="H8" s="59" t="s">
        <v>139</v>
      </c>
      <c r="I8" s="59" t="s">
        <v>140</v>
      </c>
      <c r="J8" s="59" t="s">
        <v>141</v>
      </c>
      <c r="K8" s="59" t="s">
        <v>142</v>
      </c>
      <c r="L8" s="59" t="s">
        <v>143</v>
      </c>
      <c r="M8" s="59" t="s">
        <v>144</v>
      </c>
      <c r="N8" s="59" t="s">
        <v>145</v>
      </c>
      <c r="O8" s="59" t="s">
        <v>146</v>
      </c>
      <c r="P8" s="59" t="s">
        <v>147</v>
      </c>
      <c r="Q8" s="59" t="s">
        <v>148</v>
      </c>
      <c r="R8" s="59" t="s">
        <v>149</v>
      </c>
      <c r="S8" s="59" t="s">
        <v>150</v>
      </c>
      <c r="T8" s="59" t="s">
        <v>151</v>
      </c>
      <c r="U8" s="59" t="s">
        <v>152</v>
      </c>
      <c r="V8" s="59" t="s">
        <v>153</v>
      </c>
      <c r="W8" s="59" t="s">
        <v>154</v>
      </c>
      <c r="X8" s="59" t="s">
        <v>155</v>
      </c>
      <c r="Y8" s="59" t="s">
        <v>156</v>
      </c>
      <c r="Z8" s="59" t="s">
        <v>157</v>
      </c>
    </row>
    <row r="9" spans="1:26" x14ac:dyDescent="0.25">
      <c r="A9" s="13">
        <v>1</v>
      </c>
      <c r="B9" s="48">
        <v>700</v>
      </c>
      <c r="C9" s="48">
        <f>B9+($A9*$B$9/COUNTA($C$8:$Z$8))</f>
        <v>729.16666666666663</v>
      </c>
      <c r="D9" s="48">
        <f t="shared" ref="D9:Z11" si="4">C9+($A9*$B$9/COUNTA($C$8:$Z$8))</f>
        <v>758.33333333333326</v>
      </c>
      <c r="E9" s="48">
        <f t="shared" si="4"/>
        <v>787.49999999999989</v>
      </c>
      <c r="F9" s="48">
        <f t="shared" si="4"/>
        <v>816.66666666666652</v>
      </c>
      <c r="G9" s="48">
        <f t="shared" si="4"/>
        <v>845.83333333333314</v>
      </c>
      <c r="H9" s="48">
        <f t="shared" si="4"/>
        <v>874.99999999999977</v>
      </c>
      <c r="I9" s="48">
        <f t="shared" si="4"/>
        <v>904.1666666666664</v>
      </c>
      <c r="J9" s="48">
        <f t="shared" si="4"/>
        <v>933.33333333333303</v>
      </c>
      <c r="K9" s="48">
        <f t="shared" si="4"/>
        <v>962.49999999999966</v>
      </c>
      <c r="L9" s="48">
        <f t="shared" si="4"/>
        <v>991.66666666666629</v>
      </c>
      <c r="M9" s="48">
        <f t="shared" si="4"/>
        <v>1020.8333333333329</v>
      </c>
      <c r="N9" s="48">
        <f t="shared" si="4"/>
        <v>1049.9999999999995</v>
      </c>
      <c r="O9" s="48">
        <f t="shared" si="4"/>
        <v>1079.1666666666663</v>
      </c>
      <c r="P9" s="48">
        <f t="shared" si="4"/>
        <v>1108.333333333333</v>
      </c>
      <c r="Q9" s="48">
        <f t="shared" si="4"/>
        <v>1137.4999999999998</v>
      </c>
      <c r="R9" s="48">
        <f t="shared" si="4"/>
        <v>1166.6666666666665</v>
      </c>
      <c r="S9" s="48">
        <f t="shared" si="4"/>
        <v>1195.8333333333333</v>
      </c>
      <c r="T9" s="48">
        <f t="shared" si="4"/>
        <v>1225</v>
      </c>
      <c r="U9" s="48">
        <f t="shared" si="4"/>
        <v>1254.1666666666667</v>
      </c>
      <c r="V9" s="48">
        <f t="shared" si="4"/>
        <v>1283.3333333333335</v>
      </c>
      <c r="W9" s="48">
        <f t="shared" si="4"/>
        <v>1312.5000000000002</v>
      </c>
      <c r="X9" s="48">
        <f t="shared" si="4"/>
        <v>1341.666666666667</v>
      </c>
      <c r="Y9" s="48">
        <f t="shared" si="4"/>
        <v>1370.8333333333337</v>
      </c>
      <c r="Z9" s="48">
        <f t="shared" si="4"/>
        <v>1400.0000000000005</v>
      </c>
    </row>
    <row r="10" spans="1:26" x14ac:dyDescent="0.25">
      <c r="A10" s="33">
        <v>2</v>
      </c>
      <c r="B10" s="77">
        <v>700</v>
      </c>
      <c r="C10" s="48">
        <f t="shared" ref="C10:R11" si="5">B10+($A10*$B$9/COUNTA($C$8:$Z$8))</f>
        <v>758.33333333333337</v>
      </c>
      <c r="D10" s="48">
        <f t="shared" si="5"/>
        <v>816.66666666666674</v>
      </c>
      <c r="E10" s="48">
        <f t="shared" si="5"/>
        <v>875.00000000000011</v>
      </c>
      <c r="F10" s="48">
        <f t="shared" si="5"/>
        <v>933.33333333333348</v>
      </c>
      <c r="G10" s="48">
        <f t="shared" si="5"/>
        <v>991.66666666666686</v>
      </c>
      <c r="H10" s="48">
        <f t="shared" si="5"/>
        <v>1050.0000000000002</v>
      </c>
      <c r="I10" s="48">
        <f t="shared" si="5"/>
        <v>1108.3333333333335</v>
      </c>
      <c r="J10" s="48">
        <f t="shared" si="5"/>
        <v>1166.6666666666667</v>
      </c>
      <c r="K10" s="48">
        <f t="shared" si="5"/>
        <v>1225</v>
      </c>
      <c r="L10" s="48">
        <f t="shared" si="5"/>
        <v>1283.3333333333333</v>
      </c>
      <c r="M10" s="48">
        <f t="shared" si="5"/>
        <v>1341.6666666666665</v>
      </c>
      <c r="N10" s="48">
        <f t="shared" si="5"/>
        <v>1399.9999999999998</v>
      </c>
      <c r="O10" s="48">
        <f t="shared" si="5"/>
        <v>1458.333333333333</v>
      </c>
      <c r="P10" s="48">
        <f t="shared" si="5"/>
        <v>1516.6666666666663</v>
      </c>
      <c r="Q10" s="48">
        <f t="shared" si="5"/>
        <v>1574.9999999999995</v>
      </c>
      <c r="R10" s="48">
        <f t="shared" si="5"/>
        <v>1633.3333333333328</v>
      </c>
      <c r="S10" s="48">
        <f t="shared" si="4"/>
        <v>1691.6666666666661</v>
      </c>
      <c r="T10" s="48">
        <f t="shared" si="4"/>
        <v>1749.9999999999993</v>
      </c>
      <c r="U10" s="48">
        <f t="shared" si="4"/>
        <v>1808.3333333333326</v>
      </c>
      <c r="V10" s="48">
        <f t="shared" si="4"/>
        <v>1866.6666666666658</v>
      </c>
      <c r="W10" s="48">
        <f t="shared" si="4"/>
        <v>1924.9999999999991</v>
      </c>
      <c r="X10" s="48">
        <f t="shared" si="4"/>
        <v>1983.3333333333323</v>
      </c>
      <c r="Y10" s="48">
        <f t="shared" si="4"/>
        <v>2041.6666666666656</v>
      </c>
      <c r="Z10" s="48">
        <f t="shared" si="4"/>
        <v>2099.9999999999991</v>
      </c>
    </row>
    <row r="11" spans="1:26" x14ac:dyDescent="0.25">
      <c r="A11" s="13">
        <v>3</v>
      </c>
      <c r="B11" s="48">
        <v>700</v>
      </c>
      <c r="C11" s="48">
        <f t="shared" si="5"/>
        <v>787.5</v>
      </c>
      <c r="D11" s="48">
        <f t="shared" si="4"/>
        <v>875</v>
      </c>
      <c r="E11" s="48">
        <f t="shared" si="4"/>
        <v>962.5</v>
      </c>
      <c r="F11" s="48">
        <f t="shared" si="4"/>
        <v>1050</v>
      </c>
      <c r="G11" s="48">
        <f t="shared" si="4"/>
        <v>1137.5</v>
      </c>
      <c r="H11" s="48">
        <f t="shared" si="4"/>
        <v>1225</v>
      </c>
      <c r="I11" s="48">
        <f t="shared" si="4"/>
        <v>1312.5</v>
      </c>
      <c r="J11" s="48">
        <f t="shared" si="4"/>
        <v>1400</v>
      </c>
      <c r="K11" s="48">
        <f t="shared" si="4"/>
        <v>1487.5</v>
      </c>
      <c r="L11" s="48">
        <f t="shared" si="4"/>
        <v>1575</v>
      </c>
      <c r="M11" s="48">
        <f t="shared" si="4"/>
        <v>1662.5</v>
      </c>
      <c r="N11" s="48">
        <f t="shared" si="4"/>
        <v>1750</v>
      </c>
      <c r="O11" s="48">
        <f t="shared" si="4"/>
        <v>1837.5</v>
      </c>
      <c r="P11" s="48">
        <f t="shared" si="4"/>
        <v>1925</v>
      </c>
      <c r="Q11" s="48">
        <f t="shared" si="4"/>
        <v>2012.5</v>
      </c>
      <c r="R11" s="48">
        <f t="shared" si="4"/>
        <v>2100</v>
      </c>
      <c r="S11" s="48">
        <f t="shared" si="4"/>
        <v>2187.5</v>
      </c>
      <c r="T11" s="48">
        <f t="shared" si="4"/>
        <v>2275</v>
      </c>
      <c r="U11" s="48">
        <f t="shared" si="4"/>
        <v>2362.5</v>
      </c>
      <c r="V11" s="48">
        <f t="shared" si="4"/>
        <v>2450</v>
      </c>
      <c r="W11" s="48">
        <f t="shared" si="4"/>
        <v>2537.5</v>
      </c>
      <c r="X11" s="48">
        <f t="shared" si="4"/>
        <v>2625</v>
      </c>
      <c r="Y11" s="48">
        <f t="shared" si="4"/>
        <v>2712.5</v>
      </c>
      <c r="Z11" s="48">
        <f t="shared" si="4"/>
        <v>2800</v>
      </c>
    </row>
    <row r="12" spans="1:26" x14ac:dyDescent="0.25">
      <c r="A12" s="13"/>
    </row>
    <row r="13" spans="1:26" x14ac:dyDescent="0.25">
      <c r="A13" s="13" t="s">
        <v>168</v>
      </c>
    </row>
    <row r="14" spans="1:26" x14ac:dyDescent="0.25">
      <c r="A14" s="61" t="s">
        <v>169</v>
      </c>
      <c r="B14" s="40">
        <v>995</v>
      </c>
      <c r="C14">
        <f>C31-C16</f>
        <v>732.33333333333337</v>
      </c>
      <c r="D14">
        <f>D31-D16</f>
        <v>788.66666666666674</v>
      </c>
      <c r="E14">
        <f t="shared" ref="E14:Z14" si="6">E31-E16</f>
        <v>845.00000000000011</v>
      </c>
      <c r="F14">
        <f t="shared" si="6"/>
        <v>901.33333333333348</v>
      </c>
      <c r="G14">
        <f t="shared" si="6"/>
        <v>957.66666666666686</v>
      </c>
      <c r="H14">
        <f t="shared" si="6"/>
        <v>1015.0000000000002</v>
      </c>
      <c r="I14">
        <f t="shared" si="6"/>
        <v>1071.3333333333335</v>
      </c>
      <c r="J14">
        <f t="shared" si="6"/>
        <v>1127.6666666666667</v>
      </c>
      <c r="K14">
        <f t="shared" si="6"/>
        <v>1184</v>
      </c>
      <c r="L14">
        <f t="shared" si="6"/>
        <v>1240.3333333333333</v>
      </c>
      <c r="M14">
        <f t="shared" si="6"/>
        <v>1296.6666666666665</v>
      </c>
      <c r="N14">
        <f t="shared" si="6"/>
        <v>1352.9999999999998</v>
      </c>
      <c r="O14">
        <f t="shared" si="6"/>
        <v>1409.333333333333</v>
      </c>
      <c r="P14">
        <f t="shared" si="6"/>
        <v>1465.6666666666663</v>
      </c>
      <c r="Q14">
        <f t="shared" si="6"/>
        <v>1521.9999999999995</v>
      </c>
      <c r="R14">
        <f t="shared" si="6"/>
        <v>1578.3333333333328</v>
      </c>
      <c r="S14">
        <f t="shared" si="6"/>
        <v>1634.6666666666661</v>
      </c>
      <c r="T14">
        <f t="shared" si="6"/>
        <v>1690.9999999999993</v>
      </c>
      <c r="U14">
        <f t="shared" si="6"/>
        <v>1747.3333333333326</v>
      </c>
      <c r="V14">
        <f t="shared" si="6"/>
        <v>1803.6666666666658</v>
      </c>
      <c r="W14">
        <f t="shared" si="6"/>
        <v>1859.9999999999991</v>
      </c>
      <c r="X14">
        <f t="shared" si="6"/>
        <v>1916.3333333333323</v>
      </c>
      <c r="Y14">
        <f t="shared" si="6"/>
        <v>1972.6666666666656</v>
      </c>
      <c r="Z14">
        <f t="shared" si="6"/>
        <v>2029.9999999999991</v>
      </c>
    </row>
    <row r="15" spans="1:26" x14ac:dyDescent="0.25">
      <c r="A15" s="61" t="s">
        <v>196</v>
      </c>
      <c r="B15" s="40"/>
    </row>
    <row r="16" spans="1:26" x14ac:dyDescent="0.25">
      <c r="A16" s="61" t="s">
        <v>170</v>
      </c>
      <c r="B16" s="40">
        <v>17000</v>
      </c>
      <c r="C16">
        <f>ROUNDUP(C31/30,0)</f>
        <v>26</v>
      </c>
      <c r="D16">
        <f t="shared" ref="D16:Z16" si="7">ROUNDUP(D31/30,0)</f>
        <v>28</v>
      </c>
      <c r="E16">
        <f t="shared" si="7"/>
        <v>30</v>
      </c>
      <c r="F16">
        <f t="shared" si="7"/>
        <v>32</v>
      </c>
      <c r="G16">
        <f t="shared" si="7"/>
        <v>34</v>
      </c>
      <c r="H16">
        <f t="shared" si="7"/>
        <v>35</v>
      </c>
      <c r="I16">
        <f t="shared" si="7"/>
        <v>37</v>
      </c>
      <c r="J16">
        <f t="shared" si="7"/>
        <v>39</v>
      </c>
      <c r="K16">
        <f t="shared" si="7"/>
        <v>41</v>
      </c>
      <c r="L16">
        <f t="shared" si="7"/>
        <v>43</v>
      </c>
      <c r="M16">
        <f t="shared" si="7"/>
        <v>45</v>
      </c>
      <c r="N16">
        <f t="shared" si="7"/>
        <v>47</v>
      </c>
      <c r="O16">
        <f t="shared" si="7"/>
        <v>49</v>
      </c>
      <c r="P16">
        <f t="shared" si="7"/>
        <v>51</v>
      </c>
      <c r="Q16">
        <f t="shared" si="7"/>
        <v>53</v>
      </c>
      <c r="R16">
        <f t="shared" si="7"/>
        <v>55</v>
      </c>
      <c r="S16">
        <f t="shared" si="7"/>
        <v>57</v>
      </c>
      <c r="T16">
        <f t="shared" si="7"/>
        <v>59</v>
      </c>
      <c r="U16">
        <f t="shared" si="7"/>
        <v>61</v>
      </c>
      <c r="V16">
        <f t="shared" si="7"/>
        <v>63</v>
      </c>
      <c r="W16">
        <f t="shared" si="7"/>
        <v>65</v>
      </c>
      <c r="X16">
        <f t="shared" si="7"/>
        <v>67</v>
      </c>
      <c r="Y16">
        <f t="shared" si="7"/>
        <v>69</v>
      </c>
      <c r="Z16">
        <f t="shared" si="7"/>
        <v>70</v>
      </c>
    </row>
    <row r="17" spans="1:26" x14ac:dyDescent="0.25">
      <c r="A17" s="13" t="s">
        <v>197</v>
      </c>
      <c r="C17" s="63">
        <f>C32/C31</f>
        <v>1543.7428571428572</v>
      </c>
      <c r="D17" s="63">
        <f t="shared" ref="D17:Z17" si="8">D32/D31</f>
        <v>1543.7428571428572</v>
      </c>
      <c r="E17" s="63">
        <f t="shared" si="8"/>
        <v>1543.742857142857</v>
      </c>
      <c r="F17" s="63">
        <f t="shared" si="8"/>
        <v>1543.7428571428572</v>
      </c>
      <c r="G17" s="63">
        <f t="shared" si="8"/>
        <v>1543.742857142857</v>
      </c>
      <c r="H17" s="63">
        <f t="shared" si="8"/>
        <v>1528.5</v>
      </c>
      <c r="I17" s="63">
        <f t="shared" si="8"/>
        <v>1529.3022556390977</v>
      </c>
      <c r="J17" s="63">
        <f t="shared" si="8"/>
        <v>1530.0242857142857</v>
      </c>
      <c r="K17" s="63">
        <f t="shared" si="8"/>
        <v>1530.6775510204081</v>
      </c>
      <c r="L17" s="63">
        <f t="shared" si="8"/>
        <v>1531.2714285714285</v>
      </c>
      <c r="M17" s="63">
        <f t="shared" si="8"/>
        <v>1531.8136645962734</v>
      </c>
      <c r="N17" s="63">
        <f t="shared" si="8"/>
        <v>1532.3107142857145</v>
      </c>
      <c r="O17" s="63">
        <f t="shared" si="8"/>
        <v>1532.7679999999998</v>
      </c>
      <c r="P17" s="63">
        <f t="shared" si="8"/>
        <v>1533.1901098901101</v>
      </c>
      <c r="Q17" s="63">
        <f t="shared" si="8"/>
        <v>1533.5809523809526</v>
      </c>
      <c r="R17" s="63">
        <f t="shared" si="8"/>
        <v>1533.9438775510205</v>
      </c>
      <c r="S17" s="63">
        <f t="shared" si="8"/>
        <v>1534.281773399015</v>
      </c>
      <c r="T17" s="63">
        <f t="shared" si="8"/>
        <v>1534.5971428571429</v>
      </c>
      <c r="U17" s="63">
        <f t="shared" si="8"/>
        <v>1534.8921658986178</v>
      </c>
      <c r="V17" s="63">
        <f t="shared" si="8"/>
        <v>1535.1687500000003</v>
      </c>
      <c r="W17" s="63">
        <f t="shared" si="8"/>
        <v>1535.4285714285716</v>
      </c>
      <c r="X17" s="63">
        <f t="shared" si="8"/>
        <v>1535.6731092436976</v>
      </c>
      <c r="Y17" s="63">
        <f t="shared" si="8"/>
        <v>1535.903673469388</v>
      </c>
      <c r="Z17" s="63">
        <f t="shared" si="8"/>
        <v>1528.5000000000002</v>
      </c>
    </row>
    <row r="18" spans="1:26" x14ac:dyDescent="0.25">
      <c r="A18" s="1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x14ac:dyDescent="0.25">
      <c r="A19" s="13" t="s">
        <v>171</v>
      </c>
      <c r="C19" s="13">
        <v>1</v>
      </c>
      <c r="D19" s="13">
        <v>1</v>
      </c>
      <c r="E19" s="13">
        <v>1</v>
      </c>
      <c r="F19" s="13">
        <v>1</v>
      </c>
      <c r="G19" s="13">
        <v>1</v>
      </c>
      <c r="H19" s="13">
        <v>1</v>
      </c>
      <c r="I19" s="13">
        <v>1</v>
      </c>
      <c r="J19" s="13">
        <v>1</v>
      </c>
      <c r="K19" s="13">
        <v>1</v>
      </c>
      <c r="L19" s="13">
        <v>1</v>
      </c>
      <c r="M19" s="13">
        <v>1</v>
      </c>
      <c r="N19" s="13">
        <v>1</v>
      </c>
      <c r="O19" s="13">
        <v>1</v>
      </c>
      <c r="P19" s="13">
        <v>1</v>
      </c>
      <c r="Q19" s="13">
        <v>1</v>
      </c>
      <c r="R19" s="13">
        <v>1</v>
      </c>
      <c r="S19" s="13">
        <v>1</v>
      </c>
      <c r="T19" s="13">
        <v>1</v>
      </c>
      <c r="U19" s="13">
        <v>1</v>
      </c>
      <c r="V19" s="13">
        <v>1</v>
      </c>
      <c r="W19" s="13">
        <v>1</v>
      </c>
      <c r="X19" s="13">
        <v>1</v>
      </c>
      <c r="Y19" s="13">
        <v>1</v>
      </c>
      <c r="Z19" s="13">
        <v>1</v>
      </c>
    </row>
    <row r="20" spans="1:26" x14ac:dyDescent="0.25">
      <c r="A20" s="13" t="s">
        <v>172</v>
      </c>
      <c r="C20" s="13">
        <v>0.15</v>
      </c>
      <c r="D20" s="13">
        <f>C20+1%</f>
        <v>0.16</v>
      </c>
      <c r="E20" s="13">
        <f t="shared" ref="E20:Z20" si="9">D20+1%</f>
        <v>0.17</v>
      </c>
      <c r="F20" s="13">
        <f t="shared" si="9"/>
        <v>0.18000000000000002</v>
      </c>
      <c r="G20" s="13">
        <f t="shared" si="9"/>
        <v>0.19000000000000003</v>
      </c>
      <c r="H20" s="13">
        <f t="shared" si="9"/>
        <v>0.20000000000000004</v>
      </c>
      <c r="I20" s="13">
        <f t="shared" si="9"/>
        <v>0.21000000000000005</v>
      </c>
      <c r="J20" s="13">
        <f t="shared" si="9"/>
        <v>0.22000000000000006</v>
      </c>
      <c r="K20" s="13">
        <f t="shared" si="9"/>
        <v>0.23000000000000007</v>
      </c>
      <c r="L20" s="13">
        <f t="shared" si="9"/>
        <v>0.24000000000000007</v>
      </c>
      <c r="M20" s="13">
        <f t="shared" si="9"/>
        <v>0.25000000000000006</v>
      </c>
      <c r="N20" s="13">
        <f t="shared" si="9"/>
        <v>0.26000000000000006</v>
      </c>
      <c r="O20" s="13">
        <f t="shared" si="9"/>
        <v>0.27000000000000007</v>
      </c>
      <c r="P20" s="13">
        <f t="shared" si="9"/>
        <v>0.28000000000000008</v>
      </c>
      <c r="Q20" s="13">
        <f t="shared" si="9"/>
        <v>0.29000000000000009</v>
      </c>
      <c r="R20" s="13">
        <f t="shared" si="9"/>
        <v>0.3000000000000001</v>
      </c>
      <c r="S20" s="13">
        <f t="shared" si="9"/>
        <v>0.31000000000000011</v>
      </c>
      <c r="T20" s="13">
        <f t="shared" si="9"/>
        <v>0.32000000000000012</v>
      </c>
      <c r="U20" s="13">
        <f t="shared" si="9"/>
        <v>0.33000000000000013</v>
      </c>
      <c r="V20" s="13">
        <f t="shared" si="9"/>
        <v>0.34000000000000014</v>
      </c>
      <c r="W20" s="13">
        <f t="shared" si="9"/>
        <v>0.35000000000000014</v>
      </c>
      <c r="X20" s="13">
        <f t="shared" si="9"/>
        <v>0.36000000000000015</v>
      </c>
      <c r="Y20" s="13">
        <f t="shared" si="9"/>
        <v>0.37000000000000016</v>
      </c>
      <c r="Z20" s="13">
        <f t="shared" si="9"/>
        <v>0.38000000000000017</v>
      </c>
    </row>
    <row r="21" spans="1:26" x14ac:dyDescent="0.25">
      <c r="A21" s="13" t="s">
        <v>173</v>
      </c>
      <c r="C21" s="64">
        <v>0.95</v>
      </c>
      <c r="D21" s="64">
        <f>C21+0.1%</f>
        <v>0.95099999999999996</v>
      </c>
      <c r="E21" s="64">
        <f t="shared" ref="E21:Z21" si="10">D21+0.1%</f>
        <v>0.95199999999999996</v>
      </c>
      <c r="F21" s="64">
        <f t="shared" si="10"/>
        <v>0.95299999999999996</v>
      </c>
      <c r="G21" s="64">
        <f t="shared" si="10"/>
        <v>0.95399999999999996</v>
      </c>
      <c r="H21" s="64">
        <f t="shared" si="10"/>
        <v>0.95499999999999996</v>
      </c>
      <c r="I21" s="64">
        <f t="shared" si="10"/>
        <v>0.95599999999999996</v>
      </c>
      <c r="J21" s="64">
        <f t="shared" si="10"/>
        <v>0.95699999999999996</v>
      </c>
      <c r="K21" s="64">
        <f t="shared" si="10"/>
        <v>0.95799999999999996</v>
      </c>
      <c r="L21" s="64">
        <f t="shared" si="10"/>
        <v>0.95899999999999996</v>
      </c>
      <c r="M21" s="64">
        <f t="shared" si="10"/>
        <v>0.96</v>
      </c>
      <c r="N21" s="64">
        <f t="shared" si="10"/>
        <v>0.96099999999999997</v>
      </c>
      <c r="O21" s="64">
        <f t="shared" si="10"/>
        <v>0.96199999999999997</v>
      </c>
      <c r="P21" s="64">
        <f t="shared" si="10"/>
        <v>0.96299999999999997</v>
      </c>
      <c r="Q21" s="64">
        <f t="shared" si="10"/>
        <v>0.96399999999999997</v>
      </c>
      <c r="R21" s="64">
        <f t="shared" si="10"/>
        <v>0.96499999999999997</v>
      </c>
      <c r="S21" s="64">
        <f t="shared" si="10"/>
        <v>0.96599999999999997</v>
      </c>
      <c r="T21" s="64">
        <f t="shared" si="10"/>
        <v>0.96699999999999997</v>
      </c>
      <c r="U21" s="64">
        <f t="shared" si="10"/>
        <v>0.96799999999999997</v>
      </c>
      <c r="V21" s="64">
        <f t="shared" si="10"/>
        <v>0.96899999999999997</v>
      </c>
      <c r="W21" s="64">
        <f t="shared" si="10"/>
        <v>0.97</v>
      </c>
      <c r="X21" s="64">
        <f t="shared" si="10"/>
        <v>0.97099999999999997</v>
      </c>
      <c r="Y21" s="64">
        <f t="shared" si="10"/>
        <v>0.97199999999999998</v>
      </c>
      <c r="Z21" s="64">
        <f t="shared" si="10"/>
        <v>0.97299999999999998</v>
      </c>
    </row>
    <row r="22" spans="1:26" x14ac:dyDescent="0.25">
      <c r="A22" s="13" t="s">
        <v>174</v>
      </c>
      <c r="C22" s="13">
        <v>0.99</v>
      </c>
      <c r="D22" s="13">
        <v>0.99</v>
      </c>
      <c r="E22" s="13">
        <v>0.99</v>
      </c>
      <c r="F22" s="13">
        <v>0.99</v>
      </c>
      <c r="G22" s="13">
        <v>0.99</v>
      </c>
      <c r="H22" s="13">
        <v>0.99</v>
      </c>
      <c r="I22" s="13">
        <v>0.99</v>
      </c>
      <c r="J22" s="13">
        <v>0.99</v>
      </c>
      <c r="K22" s="13">
        <v>0.99</v>
      </c>
      <c r="L22" s="13">
        <v>0.99</v>
      </c>
      <c r="M22" s="13">
        <v>0.99</v>
      </c>
      <c r="N22" s="13">
        <v>0.99</v>
      </c>
      <c r="O22" s="13">
        <v>0.99</v>
      </c>
      <c r="P22" s="13">
        <v>0.99</v>
      </c>
      <c r="Q22" s="13">
        <v>0.99</v>
      </c>
      <c r="R22" s="13">
        <v>0.99</v>
      </c>
      <c r="S22" s="13">
        <v>0.99</v>
      </c>
      <c r="T22" s="13">
        <v>0.99</v>
      </c>
      <c r="U22" s="13">
        <v>0.99</v>
      </c>
      <c r="V22" s="13">
        <v>0.99</v>
      </c>
      <c r="W22" s="13">
        <v>0.99</v>
      </c>
      <c r="X22" s="13">
        <v>0.99</v>
      </c>
      <c r="Y22" s="13">
        <v>0.99</v>
      </c>
      <c r="Z22" s="13">
        <v>0.99</v>
      </c>
    </row>
    <row r="23" spans="1:26" x14ac:dyDescent="0.25">
      <c r="A23" s="13" t="s">
        <v>166</v>
      </c>
      <c r="C23" s="13">
        <v>0.43</v>
      </c>
      <c r="D23" s="13">
        <v>0.43</v>
      </c>
      <c r="E23" s="13">
        <v>0.43</v>
      </c>
      <c r="F23" s="13">
        <v>0.43</v>
      </c>
      <c r="G23" s="13">
        <v>0.43</v>
      </c>
      <c r="H23" s="13">
        <v>0.43</v>
      </c>
      <c r="I23" s="13">
        <v>0.43</v>
      </c>
      <c r="J23" s="13">
        <v>0.43</v>
      </c>
      <c r="K23" s="13">
        <v>0.43</v>
      </c>
      <c r="L23" s="13">
        <v>0.43</v>
      </c>
      <c r="M23" s="13">
        <v>0.43</v>
      </c>
      <c r="N23" s="13">
        <v>0.43</v>
      </c>
      <c r="O23" s="13">
        <v>0.43</v>
      </c>
      <c r="P23" s="13">
        <v>0.43</v>
      </c>
      <c r="Q23" s="13">
        <v>0.43</v>
      </c>
      <c r="R23" s="13">
        <v>0.43</v>
      </c>
      <c r="S23" s="13">
        <v>0.43</v>
      </c>
      <c r="T23" s="13">
        <v>0.43</v>
      </c>
      <c r="U23" s="13">
        <v>0.43</v>
      </c>
      <c r="V23" s="13">
        <v>0.43</v>
      </c>
      <c r="W23" s="13">
        <v>0.43</v>
      </c>
      <c r="X23" s="13">
        <v>0.43</v>
      </c>
      <c r="Y23" s="13">
        <v>0.43</v>
      </c>
      <c r="Z23" s="13">
        <v>0.43</v>
      </c>
    </row>
    <row r="24" spans="1:26" x14ac:dyDescent="0.25">
      <c r="A24" s="13"/>
    </row>
    <row r="25" spans="1:26" s="67" customFormat="1" x14ac:dyDescent="0.25">
      <c r="A25" s="66" t="s">
        <v>175</v>
      </c>
      <c r="C25" s="67">
        <v>3307586</v>
      </c>
      <c r="D25" s="67">
        <v>2843953</v>
      </c>
      <c r="E25" s="65">
        <f>C25/D25</f>
        <v>1.1630241428040478</v>
      </c>
    </row>
    <row r="26" spans="1:26" s="67" customFormat="1" x14ac:dyDescent="0.25">
      <c r="A26" s="66" t="s">
        <v>176</v>
      </c>
      <c r="C26" s="67">
        <v>1420451.97</v>
      </c>
      <c r="D26" s="67">
        <f>C25</f>
        <v>3307586</v>
      </c>
      <c r="E26" s="68">
        <f>C26/D26</f>
        <v>0.42945277008670368</v>
      </c>
    </row>
    <row r="28" spans="1:26" x14ac:dyDescent="0.25">
      <c r="A28" t="s">
        <v>61</v>
      </c>
      <c r="C28" s="62">
        <v>3500000</v>
      </c>
      <c r="D28" s="62">
        <f>C38</f>
        <v>3571016</v>
      </c>
      <c r="E28" s="62">
        <f t="shared" ref="E28:Z28" si="11">D38</f>
        <v>3652679</v>
      </c>
      <c r="F28" s="62">
        <f t="shared" si="11"/>
        <v>3745741</v>
      </c>
      <c r="G28" s="62">
        <f t="shared" si="11"/>
        <v>3850957</v>
      </c>
      <c r="H28" s="62">
        <f t="shared" si="11"/>
        <v>3969083</v>
      </c>
      <c r="I28" s="62">
        <f t="shared" si="11"/>
        <v>4099577</v>
      </c>
      <c r="J28" s="62">
        <f t="shared" si="11"/>
        <v>4244436</v>
      </c>
      <c r="K28" s="62">
        <f t="shared" si="11"/>
        <v>4404423</v>
      </c>
      <c r="L28" s="62">
        <f t="shared" si="11"/>
        <v>4580303</v>
      </c>
      <c r="M28" s="62">
        <f t="shared" si="11"/>
        <v>4772845</v>
      </c>
      <c r="N28" s="62">
        <f t="shared" si="11"/>
        <v>4982819</v>
      </c>
      <c r="O28" s="62">
        <f t="shared" si="11"/>
        <v>5210998</v>
      </c>
      <c r="P28" s="62">
        <f t="shared" si="11"/>
        <v>5458157</v>
      </c>
      <c r="Q28" s="62">
        <f t="shared" si="11"/>
        <v>5725073</v>
      </c>
      <c r="R28" s="62">
        <f t="shared" si="11"/>
        <v>6012525</v>
      </c>
      <c r="S28" s="62">
        <f t="shared" si="11"/>
        <v>6321296</v>
      </c>
      <c r="T28" s="62">
        <f t="shared" si="11"/>
        <v>6652170</v>
      </c>
      <c r="U28" s="62">
        <f t="shared" si="11"/>
        <v>7005933</v>
      </c>
      <c r="V28" s="62">
        <f t="shared" si="11"/>
        <v>7383374</v>
      </c>
      <c r="W28" s="62">
        <f t="shared" si="11"/>
        <v>7785284</v>
      </c>
      <c r="X28" s="62">
        <f t="shared" si="11"/>
        <v>8212457</v>
      </c>
      <c r="Y28" s="62">
        <f t="shared" si="11"/>
        <v>8665688</v>
      </c>
      <c r="Z28" s="62">
        <f t="shared" si="11"/>
        <v>9145776</v>
      </c>
    </row>
    <row r="29" spans="1:26" x14ac:dyDescent="0.25">
      <c r="A29" t="s">
        <v>81</v>
      </c>
      <c r="C29" s="48">
        <v>1500</v>
      </c>
      <c r="D29" s="48">
        <v>1515</v>
      </c>
      <c r="E29" s="48">
        <v>1485</v>
      </c>
      <c r="F29" s="48">
        <v>1440</v>
      </c>
      <c r="G29" s="48">
        <v>1545</v>
      </c>
      <c r="H29" s="48">
        <v>1320</v>
      </c>
      <c r="I29" s="48">
        <v>1500</v>
      </c>
      <c r="J29" s="48">
        <v>1425</v>
      </c>
      <c r="K29" s="48">
        <v>1380</v>
      </c>
      <c r="L29" s="48">
        <v>1560</v>
      </c>
      <c r="M29" s="48">
        <v>1500</v>
      </c>
      <c r="N29" s="48">
        <v>1425</v>
      </c>
      <c r="O29" s="48">
        <v>1500</v>
      </c>
      <c r="P29" s="48">
        <v>1485</v>
      </c>
      <c r="Q29" s="48">
        <v>1500</v>
      </c>
      <c r="R29" s="48">
        <v>1440</v>
      </c>
      <c r="S29" s="48">
        <v>1485</v>
      </c>
      <c r="T29" s="48">
        <v>1380</v>
      </c>
      <c r="U29" s="48">
        <v>1455</v>
      </c>
      <c r="V29" s="48">
        <v>1380</v>
      </c>
      <c r="W29" s="48">
        <v>1380</v>
      </c>
      <c r="X29" s="48">
        <v>1560</v>
      </c>
      <c r="Y29" s="48">
        <v>1485</v>
      </c>
      <c r="Z29" s="48">
        <v>1440</v>
      </c>
    </row>
    <row r="30" spans="1:26" x14ac:dyDescent="0.25">
      <c r="A30" s="30" t="s">
        <v>127</v>
      </c>
      <c r="C30" s="48">
        <v>900</v>
      </c>
      <c r="D30" s="48">
        <v>928</v>
      </c>
      <c r="E30" s="48">
        <v>896</v>
      </c>
      <c r="F30" s="48">
        <v>959</v>
      </c>
      <c r="G30" s="48">
        <v>896</v>
      </c>
      <c r="H30" s="48">
        <v>928</v>
      </c>
      <c r="I30" s="48">
        <v>906</v>
      </c>
      <c r="J30" s="48">
        <v>906</v>
      </c>
      <c r="K30" s="48">
        <v>906</v>
      </c>
      <c r="L30" s="48">
        <v>906</v>
      </c>
      <c r="M30" s="48">
        <v>906</v>
      </c>
      <c r="N30" s="48">
        <v>906</v>
      </c>
      <c r="O30" s="48">
        <v>906</v>
      </c>
      <c r="P30" s="48">
        <v>906</v>
      </c>
      <c r="Q30" s="48">
        <v>906</v>
      </c>
      <c r="R30" s="48">
        <v>906</v>
      </c>
      <c r="S30" s="48">
        <v>906</v>
      </c>
      <c r="T30" s="48">
        <v>906</v>
      </c>
      <c r="U30" s="48">
        <v>906</v>
      </c>
      <c r="V30" s="48">
        <v>906</v>
      </c>
      <c r="W30" s="48">
        <v>906</v>
      </c>
      <c r="X30" s="48">
        <v>906</v>
      </c>
      <c r="Y30" s="48">
        <v>906</v>
      </c>
      <c r="Z30" s="48">
        <v>906</v>
      </c>
    </row>
    <row r="31" spans="1:26" x14ac:dyDescent="0.25">
      <c r="A31" t="s">
        <v>54</v>
      </c>
      <c r="C31" s="48">
        <f>C10</f>
        <v>758.33333333333337</v>
      </c>
      <c r="D31" s="48">
        <f t="shared" ref="D31:Z31" si="12">D10</f>
        <v>816.66666666666674</v>
      </c>
      <c r="E31" s="48">
        <f t="shared" si="12"/>
        <v>875.00000000000011</v>
      </c>
      <c r="F31" s="48">
        <f t="shared" si="12"/>
        <v>933.33333333333348</v>
      </c>
      <c r="G31" s="48">
        <f t="shared" si="12"/>
        <v>991.66666666666686</v>
      </c>
      <c r="H31" s="48">
        <f t="shared" si="12"/>
        <v>1050.0000000000002</v>
      </c>
      <c r="I31" s="48">
        <f t="shared" si="12"/>
        <v>1108.3333333333335</v>
      </c>
      <c r="J31" s="48">
        <f t="shared" si="12"/>
        <v>1166.6666666666667</v>
      </c>
      <c r="K31" s="48">
        <f t="shared" si="12"/>
        <v>1225</v>
      </c>
      <c r="L31" s="48">
        <f t="shared" si="12"/>
        <v>1283.3333333333333</v>
      </c>
      <c r="M31" s="48">
        <f t="shared" si="12"/>
        <v>1341.6666666666665</v>
      </c>
      <c r="N31" s="48">
        <f t="shared" si="12"/>
        <v>1399.9999999999998</v>
      </c>
      <c r="O31" s="48">
        <f t="shared" si="12"/>
        <v>1458.333333333333</v>
      </c>
      <c r="P31" s="48">
        <f t="shared" si="12"/>
        <v>1516.6666666666663</v>
      </c>
      <c r="Q31" s="48">
        <f t="shared" si="12"/>
        <v>1574.9999999999995</v>
      </c>
      <c r="R31" s="48">
        <f t="shared" si="12"/>
        <v>1633.3333333333328</v>
      </c>
      <c r="S31" s="48">
        <f t="shared" si="12"/>
        <v>1691.6666666666661</v>
      </c>
      <c r="T31" s="48">
        <f t="shared" si="12"/>
        <v>1749.9999999999993</v>
      </c>
      <c r="U31" s="48">
        <f t="shared" si="12"/>
        <v>1808.3333333333326</v>
      </c>
      <c r="V31" s="48">
        <f t="shared" si="12"/>
        <v>1866.6666666666658</v>
      </c>
      <c r="W31" s="48">
        <f t="shared" si="12"/>
        <v>1924.9999999999991</v>
      </c>
      <c r="X31" s="48">
        <f t="shared" si="12"/>
        <v>1983.3333333333323</v>
      </c>
      <c r="Y31" s="48">
        <f t="shared" si="12"/>
        <v>2041.6666666666656</v>
      </c>
      <c r="Z31" s="48">
        <f t="shared" si="12"/>
        <v>2099.9999999999991</v>
      </c>
    </row>
    <row r="32" spans="1:26" x14ac:dyDescent="0.25">
      <c r="A32" t="s">
        <v>55</v>
      </c>
      <c r="C32" s="60">
        <f>($B$14*C14)+($B$16*C16)</f>
        <v>1170671.6666666667</v>
      </c>
      <c r="D32" s="60">
        <f t="shared" ref="D32:Z32" si="13">($B$14*D14)+($B$16*D16)</f>
        <v>1260723.3333333335</v>
      </c>
      <c r="E32" s="60">
        <f t="shared" si="13"/>
        <v>1350775</v>
      </c>
      <c r="F32" s="60">
        <f t="shared" si="13"/>
        <v>1440826.666666667</v>
      </c>
      <c r="G32" s="60">
        <f t="shared" si="13"/>
        <v>1530878.3333333335</v>
      </c>
      <c r="H32" s="60">
        <f t="shared" si="13"/>
        <v>1604925.0000000002</v>
      </c>
      <c r="I32" s="60">
        <f t="shared" si="13"/>
        <v>1694976.6666666667</v>
      </c>
      <c r="J32" s="60">
        <f t="shared" si="13"/>
        <v>1785028.3333333335</v>
      </c>
      <c r="K32" s="60">
        <f t="shared" si="13"/>
        <v>1875080</v>
      </c>
      <c r="L32" s="60">
        <f t="shared" si="13"/>
        <v>1965131.6666666665</v>
      </c>
      <c r="M32" s="60">
        <f t="shared" si="13"/>
        <v>2055183.3333333333</v>
      </c>
      <c r="N32" s="60">
        <f t="shared" si="13"/>
        <v>2145235</v>
      </c>
      <c r="O32" s="60">
        <f t="shared" si="13"/>
        <v>2235286.666666666</v>
      </c>
      <c r="P32" s="60">
        <f t="shared" si="13"/>
        <v>2325338.333333333</v>
      </c>
      <c r="Q32" s="60">
        <f t="shared" si="13"/>
        <v>2415389.9999999995</v>
      </c>
      <c r="R32" s="60">
        <f t="shared" si="13"/>
        <v>2505441.666666666</v>
      </c>
      <c r="S32" s="60">
        <f t="shared" si="13"/>
        <v>2595493.333333333</v>
      </c>
      <c r="T32" s="60">
        <f t="shared" si="13"/>
        <v>2685544.9999999991</v>
      </c>
      <c r="U32" s="60">
        <f t="shared" si="13"/>
        <v>2775596.666666666</v>
      </c>
      <c r="V32" s="60">
        <f t="shared" si="13"/>
        <v>2865648.3333333326</v>
      </c>
      <c r="W32" s="60">
        <f t="shared" si="13"/>
        <v>2955699.9999999991</v>
      </c>
      <c r="X32" s="60">
        <f t="shared" si="13"/>
        <v>3045751.6666666656</v>
      </c>
      <c r="Y32" s="60">
        <f t="shared" si="13"/>
        <v>3135803.3333333321</v>
      </c>
      <c r="Z32" s="60">
        <f t="shared" si="13"/>
        <v>3209849.9999999991</v>
      </c>
    </row>
    <row r="33" spans="1:26" x14ac:dyDescent="0.25">
      <c r="A33" t="s">
        <v>56</v>
      </c>
      <c r="C33" s="62">
        <f>C32*C19</f>
        <v>1170671.6666666667</v>
      </c>
      <c r="D33" s="62">
        <f t="shared" ref="D33:Z33" si="14">D32*D19</f>
        <v>1260723.3333333335</v>
      </c>
      <c r="E33" s="62">
        <f t="shared" si="14"/>
        <v>1350775</v>
      </c>
      <c r="F33" s="62">
        <f t="shared" si="14"/>
        <v>1440826.666666667</v>
      </c>
      <c r="G33" s="62">
        <f t="shared" si="14"/>
        <v>1530878.3333333335</v>
      </c>
      <c r="H33" s="62">
        <f t="shared" si="14"/>
        <v>1604925.0000000002</v>
      </c>
      <c r="I33" s="62">
        <f t="shared" si="14"/>
        <v>1694976.6666666667</v>
      </c>
      <c r="J33" s="62">
        <f t="shared" si="14"/>
        <v>1785028.3333333335</v>
      </c>
      <c r="K33" s="62">
        <f t="shared" si="14"/>
        <v>1875080</v>
      </c>
      <c r="L33" s="62">
        <f t="shared" si="14"/>
        <v>1965131.6666666665</v>
      </c>
      <c r="M33" s="62">
        <f t="shared" si="14"/>
        <v>2055183.3333333333</v>
      </c>
      <c r="N33" s="62">
        <f t="shared" si="14"/>
        <v>2145235</v>
      </c>
      <c r="O33" s="62">
        <f t="shared" si="14"/>
        <v>2235286.666666666</v>
      </c>
      <c r="P33" s="62">
        <f t="shared" si="14"/>
        <v>2325338.333333333</v>
      </c>
      <c r="Q33" s="62">
        <f t="shared" si="14"/>
        <v>2415389.9999999995</v>
      </c>
      <c r="R33" s="62">
        <f t="shared" si="14"/>
        <v>2505441.666666666</v>
      </c>
      <c r="S33" s="62">
        <f t="shared" si="14"/>
        <v>2595493.333333333</v>
      </c>
      <c r="T33" s="62">
        <f t="shared" si="14"/>
        <v>2685544.9999999991</v>
      </c>
      <c r="U33" s="62">
        <f t="shared" si="14"/>
        <v>2775596.666666666</v>
      </c>
      <c r="V33" s="62">
        <f t="shared" si="14"/>
        <v>2865648.3333333326</v>
      </c>
      <c r="W33" s="62">
        <f t="shared" si="14"/>
        <v>2955699.9999999991</v>
      </c>
      <c r="X33" s="62">
        <f t="shared" si="14"/>
        <v>3045751.6666666656</v>
      </c>
      <c r="Y33" s="62">
        <f t="shared" si="14"/>
        <v>3135803.3333333321</v>
      </c>
      <c r="Z33" s="62">
        <f t="shared" si="14"/>
        <v>3209849.9999999991</v>
      </c>
    </row>
    <row r="34" spans="1:26" x14ac:dyDescent="0.25">
      <c r="A34" t="s">
        <v>57</v>
      </c>
      <c r="C34" s="62">
        <f>C33*C20</f>
        <v>175600.75</v>
      </c>
      <c r="D34" s="62">
        <f t="shared" ref="D34:Z34" si="15">D33*D20</f>
        <v>201715.73333333337</v>
      </c>
      <c r="E34" s="62">
        <f t="shared" si="15"/>
        <v>229631.75000000003</v>
      </c>
      <c r="F34" s="62">
        <f t="shared" si="15"/>
        <v>259348.80000000008</v>
      </c>
      <c r="G34" s="62">
        <f t="shared" si="15"/>
        <v>290866.88333333342</v>
      </c>
      <c r="H34" s="62">
        <f t="shared" si="15"/>
        <v>320985.00000000012</v>
      </c>
      <c r="I34" s="62">
        <f t="shared" si="15"/>
        <v>355945.10000000009</v>
      </c>
      <c r="J34" s="62">
        <f t="shared" si="15"/>
        <v>392706.23333333345</v>
      </c>
      <c r="K34" s="62">
        <f t="shared" si="15"/>
        <v>431268.40000000014</v>
      </c>
      <c r="L34" s="62">
        <f t="shared" si="15"/>
        <v>471631.60000000009</v>
      </c>
      <c r="M34" s="62">
        <f t="shared" si="15"/>
        <v>513795.83333333343</v>
      </c>
      <c r="N34" s="62">
        <f t="shared" si="15"/>
        <v>557761.10000000009</v>
      </c>
      <c r="O34" s="62">
        <f t="shared" si="15"/>
        <v>603527.4</v>
      </c>
      <c r="P34" s="62">
        <f t="shared" si="15"/>
        <v>651094.7333333334</v>
      </c>
      <c r="Q34" s="62">
        <f t="shared" si="15"/>
        <v>700463.10000000009</v>
      </c>
      <c r="R34" s="62">
        <f t="shared" si="15"/>
        <v>751632.50000000012</v>
      </c>
      <c r="S34" s="62">
        <f t="shared" si="15"/>
        <v>804602.93333333347</v>
      </c>
      <c r="T34" s="62">
        <f t="shared" si="15"/>
        <v>859374.4</v>
      </c>
      <c r="U34" s="62">
        <f t="shared" si="15"/>
        <v>915946.90000000014</v>
      </c>
      <c r="V34" s="62">
        <f t="shared" si="15"/>
        <v>974320.43333333347</v>
      </c>
      <c r="W34" s="62">
        <f t="shared" si="15"/>
        <v>1034495.0000000001</v>
      </c>
      <c r="X34" s="62">
        <f t="shared" si="15"/>
        <v>1096470.6000000001</v>
      </c>
      <c r="Y34" s="62">
        <f t="shared" si="15"/>
        <v>1160247.2333333334</v>
      </c>
      <c r="Z34" s="62">
        <f t="shared" si="15"/>
        <v>1219743.0000000002</v>
      </c>
    </row>
    <row r="35" spans="1:26" x14ac:dyDescent="0.25">
      <c r="A35" t="s">
        <v>58</v>
      </c>
      <c r="C35" s="62">
        <f>C34*C21</f>
        <v>166820.71249999999</v>
      </c>
      <c r="D35" s="62">
        <f t="shared" ref="D35:Z35" si="16">D34*D21</f>
        <v>191831.66240000003</v>
      </c>
      <c r="E35" s="62">
        <f t="shared" si="16"/>
        <v>218609.42600000001</v>
      </c>
      <c r="F35" s="62">
        <f t="shared" si="16"/>
        <v>247159.40640000007</v>
      </c>
      <c r="G35" s="62">
        <f t="shared" si="16"/>
        <v>277487.00670000009</v>
      </c>
      <c r="H35" s="62">
        <f t="shared" si="16"/>
        <v>306540.6750000001</v>
      </c>
      <c r="I35" s="62">
        <f t="shared" si="16"/>
        <v>340283.5156000001</v>
      </c>
      <c r="J35" s="62">
        <f t="shared" si="16"/>
        <v>375819.86530000012</v>
      </c>
      <c r="K35" s="62">
        <f t="shared" si="16"/>
        <v>413155.1272000001</v>
      </c>
      <c r="L35" s="62">
        <f t="shared" si="16"/>
        <v>452294.70440000005</v>
      </c>
      <c r="M35" s="62">
        <f t="shared" si="16"/>
        <v>493244.00000000006</v>
      </c>
      <c r="N35" s="62">
        <f t="shared" si="16"/>
        <v>536008.41710000008</v>
      </c>
      <c r="O35" s="62">
        <f t="shared" si="16"/>
        <v>580593.35880000005</v>
      </c>
      <c r="P35" s="62">
        <f t="shared" si="16"/>
        <v>627004.22820000001</v>
      </c>
      <c r="Q35" s="62">
        <f t="shared" si="16"/>
        <v>675246.42840000009</v>
      </c>
      <c r="R35" s="62">
        <f t="shared" si="16"/>
        <v>725325.36250000005</v>
      </c>
      <c r="S35" s="62">
        <f t="shared" si="16"/>
        <v>777246.43360000011</v>
      </c>
      <c r="T35" s="62">
        <f t="shared" si="16"/>
        <v>831015.04480000003</v>
      </c>
      <c r="U35" s="62">
        <f t="shared" si="16"/>
        <v>886636.59920000006</v>
      </c>
      <c r="V35" s="62">
        <f t="shared" si="16"/>
        <v>944116.49990000005</v>
      </c>
      <c r="W35" s="62">
        <f t="shared" si="16"/>
        <v>1003460.1500000001</v>
      </c>
      <c r="X35" s="62">
        <f t="shared" si="16"/>
        <v>1064672.9526</v>
      </c>
      <c r="Y35" s="62">
        <f t="shared" si="16"/>
        <v>1127760.3108000001</v>
      </c>
      <c r="Z35" s="62">
        <f t="shared" si="16"/>
        <v>1186809.9390000002</v>
      </c>
    </row>
    <row r="36" spans="1:26" x14ac:dyDescent="0.25">
      <c r="A36" t="s">
        <v>59</v>
      </c>
      <c r="C36" s="62">
        <f>C35*C22</f>
        <v>165152.50537499998</v>
      </c>
      <c r="D36" s="62">
        <f t="shared" ref="D36:Z36" si="17">D35*D22</f>
        <v>189913.34577600003</v>
      </c>
      <c r="E36" s="62">
        <f t="shared" si="17"/>
        <v>216423.33173999999</v>
      </c>
      <c r="F36" s="62">
        <f t="shared" si="17"/>
        <v>244687.81233600006</v>
      </c>
      <c r="G36" s="62">
        <f t="shared" si="17"/>
        <v>274712.1366330001</v>
      </c>
      <c r="H36" s="62">
        <f t="shared" si="17"/>
        <v>303475.26825000008</v>
      </c>
      <c r="I36" s="62">
        <f t="shared" si="17"/>
        <v>336880.68044400011</v>
      </c>
      <c r="J36" s="62">
        <f t="shared" si="17"/>
        <v>372061.66664700012</v>
      </c>
      <c r="K36" s="62">
        <f t="shared" si="17"/>
        <v>409023.57592800009</v>
      </c>
      <c r="L36" s="62">
        <f t="shared" si="17"/>
        <v>447771.75735600002</v>
      </c>
      <c r="M36" s="62">
        <f t="shared" si="17"/>
        <v>488311.56000000006</v>
      </c>
      <c r="N36" s="62">
        <f t="shared" si="17"/>
        <v>530648.33292900003</v>
      </c>
      <c r="O36" s="62">
        <f t="shared" si="17"/>
        <v>574787.42521200003</v>
      </c>
      <c r="P36" s="62">
        <f t="shared" si="17"/>
        <v>620734.18591800006</v>
      </c>
      <c r="Q36" s="62">
        <f t="shared" si="17"/>
        <v>668493.9641160001</v>
      </c>
      <c r="R36" s="62">
        <f t="shared" si="17"/>
        <v>718072.10887500003</v>
      </c>
      <c r="S36" s="62">
        <f t="shared" si="17"/>
        <v>769473.96926400007</v>
      </c>
      <c r="T36" s="62">
        <f t="shared" si="17"/>
        <v>822704.89435199997</v>
      </c>
      <c r="U36" s="62">
        <f t="shared" si="17"/>
        <v>877770.23320800008</v>
      </c>
      <c r="V36" s="62">
        <f t="shared" si="17"/>
        <v>934675.33490100002</v>
      </c>
      <c r="W36" s="62">
        <f t="shared" si="17"/>
        <v>993425.54850000015</v>
      </c>
      <c r="X36" s="62">
        <f t="shared" si="17"/>
        <v>1054026.2230739999</v>
      </c>
      <c r="Y36" s="62">
        <f t="shared" si="17"/>
        <v>1116482.7076920001</v>
      </c>
      <c r="Z36" s="62">
        <f t="shared" si="17"/>
        <v>1174941.8396100001</v>
      </c>
    </row>
    <row r="37" spans="1:26" x14ac:dyDescent="0.25">
      <c r="A37" t="s">
        <v>60</v>
      </c>
      <c r="C37" s="62">
        <f>C36*C23</f>
        <v>71015.577311249988</v>
      </c>
      <c r="D37" s="62">
        <f t="shared" ref="D37:Z37" si="18">D36*D23</f>
        <v>81662.738683680014</v>
      </c>
      <c r="E37" s="62">
        <f t="shared" si="18"/>
        <v>93062.032648199995</v>
      </c>
      <c r="F37" s="62">
        <f t="shared" si="18"/>
        <v>105215.75930448003</v>
      </c>
      <c r="G37" s="62">
        <f t="shared" si="18"/>
        <v>118126.21875219005</v>
      </c>
      <c r="H37" s="62">
        <f t="shared" si="18"/>
        <v>130494.36534750003</v>
      </c>
      <c r="I37" s="62">
        <f t="shared" si="18"/>
        <v>144858.69259092005</v>
      </c>
      <c r="J37" s="62">
        <f t="shared" si="18"/>
        <v>159986.51665821005</v>
      </c>
      <c r="K37" s="62">
        <f t="shared" si="18"/>
        <v>175880.13764904003</v>
      </c>
      <c r="L37" s="62">
        <f t="shared" si="18"/>
        <v>192541.85566308</v>
      </c>
      <c r="M37" s="62">
        <f t="shared" si="18"/>
        <v>209973.97080000001</v>
      </c>
      <c r="N37" s="62">
        <f t="shared" si="18"/>
        <v>228178.78315947001</v>
      </c>
      <c r="O37" s="62">
        <f t="shared" si="18"/>
        <v>247158.59284116002</v>
      </c>
      <c r="P37" s="62">
        <f t="shared" si="18"/>
        <v>266915.69994474004</v>
      </c>
      <c r="Q37" s="62">
        <f t="shared" si="18"/>
        <v>287452.40456988005</v>
      </c>
      <c r="R37" s="62">
        <f t="shared" si="18"/>
        <v>308771.00681624998</v>
      </c>
      <c r="S37" s="62">
        <f t="shared" si="18"/>
        <v>330873.80678352003</v>
      </c>
      <c r="T37" s="62">
        <f t="shared" si="18"/>
        <v>353763.10457135999</v>
      </c>
      <c r="U37" s="62">
        <f t="shared" si="18"/>
        <v>377441.20027944003</v>
      </c>
      <c r="V37" s="62">
        <f t="shared" si="18"/>
        <v>401910.39400743</v>
      </c>
      <c r="W37" s="62">
        <f t="shared" si="18"/>
        <v>427172.98585500004</v>
      </c>
      <c r="X37" s="62">
        <f t="shared" si="18"/>
        <v>453231.27592181991</v>
      </c>
      <c r="Y37" s="62">
        <f t="shared" si="18"/>
        <v>480087.56430756004</v>
      </c>
      <c r="Z37" s="62">
        <f t="shared" si="18"/>
        <v>505224.99103230005</v>
      </c>
    </row>
    <row r="38" spans="1:26" x14ac:dyDescent="0.25">
      <c r="A38" t="s">
        <v>61</v>
      </c>
      <c r="C38" s="62">
        <f>ROUND(C28+C37,0)</f>
        <v>3571016</v>
      </c>
      <c r="D38" s="62">
        <f t="shared" ref="D38:Z38" si="19">ROUND(D28+D37,0)</f>
        <v>3652679</v>
      </c>
      <c r="E38" s="62">
        <f t="shared" si="19"/>
        <v>3745741</v>
      </c>
      <c r="F38" s="62">
        <f t="shared" si="19"/>
        <v>3850957</v>
      </c>
      <c r="G38" s="62">
        <f t="shared" si="19"/>
        <v>3969083</v>
      </c>
      <c r="H38" s="62">
        <f t="shared" si="19"/>
        <v>4099577</v>
      </c>
      <c r="I38" s="62">
        <f t="shared" si="19"/>
        <v>4244436</v>
      </c>
      <c r="J38" s="62">
        <f t="shared" si="19"/>
        <v>4404423</v>
      </c>
      <c r="K38" s="62">
        <f t="shared" si="19"/>
        <v>4580303</v>
      </c>
      <c r="L38" s="62">
        <f t="shared" si="19"/>
        <v>4772845</v>
      </c>
      <c r="M38" s="62">
        <f t="shared" si="19"/>
        <v>4982819</v>
      </c>
      <c r="N38" s="62">
        <f t="shared" si="19"/>
        <v>5210998</v>
      </c>
      <c r="O38" s="62">
        <f t="shared" si="19"/>
        <v>5458157</v>
      </c>
      <c r="P38" s="62">
        <f t="shared" si="19"/>
        <v>5725073</v>
      </c>
      <c r="Q38" s="62">
        <f t="shared" si="19"/>
        <v>6012525</v>
      </c>
      <c r="R38" s="62">
        <f t="shared" si="19"/>
        <v>6321296</v>
      </c>
      <c r="S38" s="62">
        <f t="shared" si="19"/>
        <v>6652170</v>
      </c>
      <c r="T38" s="62">
        <f t="shared" si="19"/>
        <v>7005933</v>
      </c>
      <c r="U38" s="62">
        <f t="shared" si="19"/>
        <v>7383374</v>
      </c>
      <c r="V38" s="62">
        <f t="shared" si="19"/>
        <v>7785284</v>
      </c>
      <c r="W38" s="62">
        <f t="shared" si="19"/>
        <v>8212457</v>
      </c>
      <c r="X38" s="62">
        <f t="shared" si="19"/>
        <v>8665688</v>
      </c>
      <c r="Y38" s="62">
        <f t="shared" si="19"/>
        <v>9145776</v>
      </c>
      <c r="Z38" s="62">
        <f t="shared" si="19"/>
        <v>9651001</v>
      </c>
    </row>
    <row r="40" spans="1:26" s="70" customFormat="1" x14ac:dyDescent="0.25">
      <c r="C40" s="71">
        <f>C37/C28</f>
        <v>2.0290164946071425E-2</v>
      </c>
      <c r="D40" s="71">
        <f t="shared" ref="D40:Z40" si="20">D37/D28</f>
        <v>2.2868208566884051E-2</v>
      </c>
      <c r="E40" s="71">
        <f t="shared" si="20"/>
        <v>2.5477747332355236E-2</v>
      </c>
      <c r="F40" s="71">
        <f t="shared" si="20"/>
        <v>2.8089437925494589E-2</v>
      </c>
      <c r="G40" s="71">
        <f t="shared" si="20"/>
        <v>3.0674509934073543E-2</v>
      </c>
      <c r="H40" s="71">
        <f t="shared" si="20"/>
        <v>3.2877711387617754E-2</v>
      </c>
      <c r="I40" s="71">
        <f t="shared" si="20"/>
        <v>3.5335033978120191E-2</v>
      </c>
      <c r="J40" s="71">
        <f t="shared" si="20"/>
        <v>3.7693233366744142E-2</v>
      </c>
      <c r="K40" s="71">
        <f t="shared" si="20"/>
        <v>3.9932617200718466E-2</v>
      </c>
      <c r="L40" s="71">
        <f t="shared" si="20"/>
        <v>4.203692543115161E-2</v>
      </c>
      <c r="M40" s="71">
        <f t="shared" si="20"/>
        <v>4.3993461090816907E-2</v>
      </c>
      <c r="N40" s="71">
        <f t="shared" si="20"/>
        <v>4.5793110919636053E-2</v>
      </c>
      <c r="O40" s="71">
        <f t="shared" si="20"/>
        <v>4.7430183784595584E-2</v>
      </c>
      <c r="P40" s="71">
        <f t="shared" si="20"/>
        <v>4.8902166050690747E-2</v>
      </c>
      <c r="Q40" s="71">
        <f t="shared" si="20"/>
        <v>5.0209386774610565E-2</v>
      </c>
      <c r="R40" s="71">
        <f t="shared" si="20"/>
        <v>5.1354631675751862E-2</v>
      </c>
      <c r="S40" s="71">
        <f t="shared" si="20"/>
        <v>5.2342716870641723E-2</v>
      </c>
      <c r="T40" s="71">
        <f t="shared" si="20"/>
        <v>5.3180105825822249E-2</v>
      </c>
      <c r="U40" s="71">
        <f t="shared" si="20"/>
        <v>5.3874508973956792E-2</v>
      </c>
      <c r="V40" s="71">
        <f t="shared" si="20"/>
        <v>5.4434516524211017E-2</v>
      </c>
      <c r="W40" s="71">
        <f t="shared" si="20"/>
        <v>5.4869287473006768E-2</v>
      </c>
      <c r="X40" s="71">
        <f t="shared" si="20"/>
        <v>5.5188267764667738E-2</v>
      </c>
      <c r="Y40" s="71">
        <f t="shared" si="20"/>
        <v>5.5400975007126964E-2</v>
      </c>
      <c r="Z40" s="71">
        <f t="shared" si="20"/>
        <v>5.524134759393845E-2</v>
      </c>
    </row>
    <row r="42" spans="1:26" x14ac:dyDescent="0.25">
      <c r="A42" t="s">
        <v>158</v>
      </c>
    </row>
    <row r="43" spans="1:26" x14ac:dyDescent="0.25">
      <c r="A43" t="s">
        <v>177</v>
      </c>
      <c r="C43" s="69">
        <f>(1500/3000000)*(1000)</f>
        <v>0.5</v>
      </c>
    </row>
    <row r="44" spans="1:26" x14ac:dyDescent="0.25">
      <c r="A44" t="s">
        <v>159</v>
      </c>
      <c r="C44">
        <f>0.85</f>
        <v>0.85</v>
      </c>
    </row>
    <row r="45" spans="1:26" x14ac:dyDescent="0.25">
      <c r="A45" t="s">
        <v>160</v>
      </c>
      <c r="C45">
        <v>1.6</v>
      </c>
    </row>
    <row r="46" spans="1:26" x14ac:dyDescent="0.25">
      <c r="A46" t="s">
        <v>161</v>
      </c>
      <c r="C46" s="62">
        <f>C17</f>
        <v>1543.7428571428572</v>
      </c>
    </row>
    <row r="47" spans="1:26" x14ac:dyDescent="0.25">
      <c r="A47" t="s">
        <v>162</v>
      </c>
      <c r="C47" s="13">
        <f>C19</f>
        <v>1</v>
      </c>
    </row>
    <row r="48" spans="1:26" x14ac:dyDescent="0.25">
      <c r="A48" t="s">
        <v>163</v>
      </c>
      <c r="C48" s="13">
        <v>0.25</v>
      </c>
    </row>
    <row r="49" spans="1:3" x14ac:dyDescent="0.25">
      <c r="A49" t="s">
        <v>164</v>
      </c>
      <c r="C49" s="13">
        <f>C21</f>
        <v>0.95</v>
      </c>
    </row>
    <row r="50" spans="1:3" x14ac:dyDescent="0.25">
      <c r="A50" t="s">
        <v>165</v>
      </c>
      <c r="C50" s="13">
        <f>C22</f>
        <v>0.99</v>
      </c>
    </row>
    <row r="51" spans="1:3" x14ac:dyDescent="0.25">
      <c r="A51" t="s">
        <v>166</v>
      </c>
      <c r="C51" s="13">
        <f>C23</f>
        <v>0.43</v>
      </c>
    </row>
    <row r="52" spans="1:3" x14ac:dyDescent="0.25">
      <c r="A52" t="s">
        <v>167</v>
      </c>
      <c r="C52" s="64">
        <f>C40</f>
        <v>2.0290164946071425E-2</v>
      </c>
    </row>
    <row r="53" spans="1:3" x14ac:dyDescent="0.25">
      <c r="C53" s="64"/>
    </row>
    <row r="54" spans="1:3" x14ac:dyDescent="0.25">
      <c r="C54" s="64"/>
    </row>
    <row r="55" spans="1:3" ht="15.75" x14ac:dyDescent="0.25">
      <c r="A55" s="72" t="s">
        <v>268</v>
      </c>
      <c r="C55" s="108">
        <v>0.67262037955380471</v>
      </c>
    </row>
    <row r="56" spans="1:3" ht="15.75" x14ac:dyDescent="0.25">
      <c r="A56" s="72" t="s">
        <v>269</v>
      </c>
      <c r="C56" s="108">
        <v>1.0889245515645138</v>
      </c>
    </row>
    <row r="57" spans="1:3" ht="15.75" x14ac:dyDescent="0.25">
      <c r="A57" s="72" t="s">
        <v>270</v>
      </c>
      <c r="C57" s="108">
        <v>1.1735786833190744</v>
      </c>
    </row>
    <row r="58" spans="1:3" ht="15.75" x14ac:dyDescent="0.25">
      <c r="A58" s="72" t="s">
        <v>57</v>
      </c>
      <c r="C58" s="60"/>
    </row>
    <row r="59" spans="1:3" x14ac:dyDescent="0.25">
      <c r="A59" s="73" t="s">
        <v>274</v>
      </c>
      <c r="C59" s="108">
        <v>0.80962745962513116</v>
      </c>
    </row>
    <row r="60" spans="1:3" x14ac:dyDescent="0.25">
      <c r="A60" s="73" t="s">
        <v>271</v>
      </c>
      <c r="C60" s="108">
        <v>-0.66476473795832403</v>
      </c>
    </row>
    <row r="61" spans="1:3" x14ac:dyDescent="0.25">
      <c r="A61" s="73" t="s">
        <v>181</v>
      </c>
      <c r="C61" s="108"/>
    </row>
    <row r="62" spans="1:3" ht="15.75" x14ac:dyDescent="0.25">
      <c r="A62" s="72" t="s">
        <v>275</v>
      </c>
      <c r="C62" s="108">
        <v>0.31400872955871317</v>
      </c>
    </row>
    <row r="63" spans="1:3" x14ac:dyDescent="0.25">
      <c r="A63" s="73" t="s">
        <v>272</v>
      </c>
      <c r="C63" s="108">
        <v>-20.811396820375151</v>
      </c>
    </row>
    <row r="64" spans="1:3" x14ac:dyDescent="0.25">
      <c r="A64" s="73" t="s">
        <v>273</v>
      </c>
      <c r="C64" s="108">
        <v>0.1229032137874156</v>
      </c>
    </row>
    <row r="65" spans="1:26" x14ac:dyDescent="0.25">
      <c r="A65" s="74" t="s">
        <v>61</v>
      </c>
    </row>
    <row r="67" spans="1:26" x14ac:dyDescent="0.25">
      <c r="C67" s="64"/>
    </row>
    <row r="68" spans="1:26" x14ac:dyDescent="0.25">
      <c r="C68" s="64"/>
    </row>
    <row r="69" spans="1:26" x14ac:dyDescent="0.25">
      <c r="C69" s="64"/>
    </row>
    <row r="70" spans="1:26" x14ac:dyDescent="0.25">
      <c r="C70" s="64"/>
    </row>
    <row r="72" spans="1:26" x14ac:dyDescent="0.25">
      <c r="A72" t="s">
        <v>61</v>
      </c>
      <c r="C72" s="62">
        <f>C28</f>
        <v>3500000</v>
      </c>
      <c r="D72" s="62">
        <f t="shared" ref="D72:Z72" si="21">D28</f>
        <v>3571016</v>
      </c>
      <c r="E72" s="62">
        <f t="shared" si="21"/>
        <v>3652679</v>
      </c>
      <c r="F72" s="62">
        <f t="shared" si="21"/>
        <v>3745741</v>
      </c>
      <c r="G72" s="62">
        <f t="shared" si="21"/>
        <v>3850957</v>
      </c>
      <c r="H72" s="62">
        <f t="shared" si="21"/>
        <v>3969083</v>
      </c>
      <c r="I72" s="62">
        <f t="shared" si="21"/>
        <v>4099577</v>
      </c>
      <c r="J72" s="62">
        <f t="shared" si="21"/>
        <v>4244436</v>
      </c>
      <c r="K72" s="62">
        <f t="shared" si="21"/>
        <v>4404423</v>
      </c>
      <c r="L72" s="62">
        <f t="shared" si="21"/>
        <v>4580303</v>
      </c>
      <c r="M72" s="62">
        <f t="shared" si="21"/>
        <v>4772845</v>
      </c>
      <c r="N72" s="62">
        <f t="shared" si="21"/>
        <v>4982819</v>
      </c>
      <c r="O72" s="62">
        <f t="shared" si="21"/>
        <v>5210998</v>
      </c>
      <c r="P72" s="62">
        <f t="shared" si="21"/>
        <v>5458157</v>
      </c>
      <c r="Q72" s="62">
        <f t="shared" si="21"/>
        <v>5725073</v>
      </c>
      <c r="R72" s="62">
        <f t="shared" si="21"/>
        <v>6012525</v>
      </c>
      <c r="S72" s="62">
        <f t="shared" si="21"/>
        <v>6321296</v>
      </c>
      <c r="T72" s="62">
        <f t="shared" si="21"/>
        <v>6652170</v>
      </c>
      <c r="U72" s="62">
        <f t="shared" si="21"/>
        <v>7005933</v>
      </c>
      <c r="V72" s="62">
        <f t="shared" si="21"/>
        <v>7383374</v>
      </c>
      <c r="W72" s="62">
        <f t="shared" si="21"/>
        <v>7785284</v>
      </c>
      <c r="X72" s="62">
        <f t="shared" si="21"/>
        <v>8212457</v>
      </c>
      <c r="Y72" s="62">
        <f t="shared" si="21"/>
        <v>8665688</v>
      </c>
      <c r="Z72" s="62">
        <f t="shared" si="21"/>
        <v>9145776</v>
      </c>
    </row>
    <row r="73" spans="1:26" ht="15.75" x14ac:dyDescent="0.25">
      <c r="B73" s="72"/>
      <c r="C73" s="72"/>
      <c r="D73" s="72"/>
      <c r="E73" s="72"/>
      <c r="F73" s="73"/>
      <c r="G73" s="73"/>
      <c r="H73" s="73"/>
      <c r="I73" s="72"/>
      <c r="J73" s="73"/>
      <c r="K73" s="73"/>
      <c r="L73" s="74"/>
    </row>
    <row r="74" spans="1:26" x14ac:dyDescent="0.25">
      <c r="A74" s="74" t="s">
        <v>118</v>
      </c>
      <c r="C74">
        <v>2</v>
      </c>
      <c r="D74">
        <v>2</v>
      </c>
      <c r="E74">
        <v>2</v>
      </c>
      <c r="F74">
        <v>2</v>
      </c>
      <c r="G74">
        <v>2</v>
      </c>
      <c r="H74">
        <v>2</v>
      </c>
      <c r="I74">
        <v>2</v>
      </c>
      <c r="J74">
        <v>2</v>
      </c>
      <c r="K74">
        <v>2</v>
      </c>
      <c r="L74">
        <v>2</v>
      </c>
      <c r="M74">
        <v>2</v>
      </c>
      <c r="N74">
        <v>2</v>
      </c>
      <c r="O74">
        <v>2</v>
      </c>
      <c r="P74">
        <v>2</v>
      </c>
      <c r="Q74">
        <v>2</v>
      </c>
      <c r="R74">
        <v>2</v>
      </c>
      <c r="S74">
        <v>2</v>
      </c>
      <c r="T74">
        <v>2</v>
      </c>
      <c r="U74">
        <v>2</v>
      </c>
      <c r="V74">
        <v>2</v>
      </c>
      <c r="W74">
        <v>2</v>
      </c>
      <c r="X74">
        <v>2</v>
      </c>
      <c r="Y74">
        <v>2</v>
      </c>
      <c r="Z74">
        <v>2</v>
      </c>
    </row>
    <row r="75" spans="1:26" x14ac:dyDescent="0.25">
      <c r="A75" s="74" t="s">
        <v>81</v>
      </c>
      <c r="C75">
        <f>C29</f>
        <v>1500</v>
      </c>
      <c r="D75">
        <f t="shared" ref="D75:Z75" si="22">D29</f>
        <v>1515</v>
      </c>
      <c r="E75">
        <f t="shared" si="22"/>
        <v>1485</v>
      </c>
      <c r="F75">
        <f t="shared" si="22"/>
        <v>1440</v>
      </c>
      <c r="G75">
        <f t="shared" si="22"/>
        <v>1545</v>
      </c>
      <c r="H75">
        <f t="shared" si="22"/>
        <v>1320</v>
      </c>
      <c r="I75">
        <f t="shared" si="22"/>
        <v>1500</v>
      </c>
      <c r="J75">
        <f t="shared" si="22"/>
        <v>1425</v>
      </c>
      <c r="K75">
        <f t="shared" si="22"/>
        <v>1380</v>
      </c>
      <c r="L75">
        <f t="shared" si="22"/>
        <v>1560</v>
      </c>
      <c r="M75">
        <f t="shared" si="22"/>
        <v>1500</v>
      </c>
      <c r="N75">
        <f t="shared" si="22"/>
        <v>1425</v>
      </c>
      <c r="O75">
        <f t="shared" si="22"/>
        <v>1500</v>
      </c>
      <c r="P75">
        <f t="shared" si="22"/>
        <v>1485</v>
      </c>
      <c r="Q75">
        <f t="shared" si="22"/>
        <v>1500</v>
      </c>
      <c r="R75">
        <f t="shared" si="22"/>
        <v>1440</v>
      </c>
      <c r="S75">
        <f t="shared" si="22"/>
        <v>1485</v>
      </c>
      <c r="T75">
        <f t="shared" si="22"/>
        <v>1380</v>
      </c>
      <c r="U75">
        <f t="shared" si="22"/>
        <v>1455</v>
      </c>
      <c r="V75">
        <f t="shared" si="22"/>
        <v>1380</v>
      </c>
      <c r="W75">
        <f t="shared" si="22"/>
        <v>1380</v>
      </c>
      <c r="X75">
        <f t="shared" si="22"/>
        <v>1560</v>
      </c>
      <c r="Y75">
        <f t="shared" si="22"/>
        <v>1485</v>
      </c>
      <c r="Z75">
        <f t="shared" si="22"/>
        <v>1440</v>
      </c>
    </row>
    <row r="76" spans="1:26" x14ac:dyDescent="0.25">
      <c r="A76" s="74" t="s">
        <v>120</v>
      </c>
      <c r="C76">
        <v>4400</v>
      </c>
      <c r="D76">
        <v>4400</v>
      </c>
      <c r="E76">
        <v>4400</v>
      </c>
      <c r="F76">
        <v>4400</v>
      </c>
      <c r="G76">
        <v>4400</v>
      </c>
      <c r="H76">
        <v>4400</v>
      </c>
      <c r="I76">
        <v>4400</v>
      </c>
      <c r="J76">
        <v>4400</v>
      </c>
      <c r="K76">
        <v>4400</v>
      </c>
      <c r="L76">
        <v>4400</v>
      </c>
      <c r="M76">
        <v>4400</v>
      </c>
      <c r="N76">
        <v>4400</v>
      </c>
      <c r="O76">
        <v>4400</v>
      </c>
      <c r="P76">
        <v>4400</v>
      </c>
      <c r="Q76">
        <v>4400</v>
      </c>
      <c r="R76">
        <v>4400</v>
      </c>
      <c r="S76">
        <v>4400</v>
      </c>
      <c r="T76">
        <v>4400</v>
      </c>
      <c r="U76">
        <v>4400</v>
      </c>
      <c r="V76">
        <v>4400</v>
      </c>
      <c r="W76">
        <v>4400</v>
      </c>
      <c r="X76">
        <v>4400</v>
      </c>
      <c r="Y76">
        <v>4400</v>
      </c>
      <c r="Z76">
        <v>4400</v>
      </c>
    </row>
    <row r="77" spans="1:26" x14ac:dyDescent="0.25">
      <c r="A77" s="74" t="s">
        <v>119</v>
      </c>
      <c r="C77">
        <v>6</v>
      </c>
      <c r="D77">
        <v>6</v>
      </c>
      <c r="E77">
        <v>6</v>
      </c>
      <c r="F77">
        <v>6</v>
      </c>
      <c r="G77">
        <v>6</v>
      </c>
      <c r="H77">
        <v>6</v>
      </c>
      <c r="I77">
        <v>6</v>
      </c>
      <c r="J77">
        <v>6</v>
      </c>
      <c r="K77">
        <v>6</v>
      </c>
      <c r="L77">
        <v>6</v>
      </c>
      <c r="M77">
        <v>6</v>
      </c>
      <c r="N77">
        <v>6</v>
      </c>
      <c r="O77">
        <v>6</v>
      </c>
      <c r="P77">
        <v>6</v>
      </c>
      <c r="Q77">
        <v>6</v>
      </c>
      <c r="R77">
        <v>6</v>
      </c>
      <c r="S77">
        <v>6</v>
      </c>
      <c r="T77">
        <v>6</v>
      </c>
      <c r="U77">
        <v>6</v>
      </c>
      <c r="V77">
        <v>6</v>
      </c>
      <c r="W77">
        <v>6</v>
      </c>
      <c r="X77">
        <v>6</v>
      </c>
      <c r="Y77">
        <v>6</v>
      </c>
      <c r="Z77">
        <v>6</v>
      </c>
    </row>
    <row r="79" spans="1:26" x14ac:dyDescent="0.25">
      <c r="A79" s="75" t="s">
        <v>90</v>
      </c>
      <c r="C79">
        <v>8</v>
      </c>
      <c r="D79">
        <v>8</v>
      </c>
      <c r="E79">
        <v>8</v>
      </c>
      <c r="F79">
        <v>8</v>
      </c>
      <c r="G79">
        <v>8</v>
      </c>
      <c r="H79">
        <v>8</v>
      </c>
      <c r="I79">
        <v>8</v>
      </c>
      <c r="J79">
        <v>8</v>
      </c>
      <c r="K79">
        <v>8</v>
      </c>
      <c r="L79">
        <v>8</v>
      </c>
      <c r="M79">
        <v>8</v>
      </c>
      <c r="N79">
        <v>8</v>
      </c>
      <c r="O79">
        <v>8</v>
      </c>
      <c r="P79">
        <v>8</v>
      </c>
      <c r="Q79">
        <v>8</v>
      </c>
      <c r="R79">
        <v>8</v>
      </c>
      <c r="S79">
        <v>8</v>
      </c>
      <c r="T79">
        <v>8</v>
      </c>
      <c r="U79">
        <v>8</v>
      </c>
      <c r="V79">
        <v>8</v>
      </c>
      <c r="W79">
        <v>8</v>
      </c>
      <c r="X79">
        <v>8</v>
      </c>
      <c r="Y79">
        <v>8</v>
      </c>
      <c r="Z79">
        <v>8</v>
      </c>
    </row>
    <row r="80" spans="1:26" x14ac:dyDescent="0.25">
      <c r="A80" s="74" t="s">
        <v>191</v>
      </c>
      <c r="C80">
        <v>35</v>
      </c>
      <c r="D80">
        <v>35</v>
      </c>
      <c r="E80">
        <v>35</v>
      </c>
      <c r="F80">
        <v>35</v>
      </c>
      <c r="G80">
        <v>35</v>
      </c>
      <c r="H80">
        <v>35</v>
      </c>
      <c r="I80">
        <v>35</v>
      </c>
      <c r="J80">
        <v>35</v>
      </c>
      <c r="K80">
        <v>35</v>
      </c>
      <c r="L80">
        <v>35</v>
      </c>
      <c r="M80">
        <v>35</v>
      </c>
      <c r="N80">
        <v>35</v>
      </c>
      <c r="O80">
        <v>35</v>
      </c>
      <c r="P80">
        <v>35</v>
      </c>
      <c r="Q80">
        <v>35</v>
      </c>
      <c r="R80">
        <v>35</v>
      </c>
      <c r="S80">
        <v>35</v>
      </c>
      <c r="T80">
        <v>35</v>
      </c>
      <c r="U80">
        <v>35</v>
      </c>
      <c r="V80">
        <v>35</v>
      </c>
      <c r="W80">
        <v>35</v>
      </c>
      <c r="X80">
        <v>35</v>
      </c>
      <c r="Y80">
        <v>35</v>
      </c>
      <c r="Z80">
        <v>35</v>
      </c>
    </row>
    <row r="81" spans="1:26" x14ac:dyDescent="0.25">
      <c r="A81" s="74" t="s">
        <v>192</v>
      </c>
      <c r="C81">
        <v>17</v>
      </c>
      <c r="D81">
        <v>17</v>
      </c>
      <c r="E81">
        <v>17</v>
      </c>
      <c r="F81">
        <v>17</v>
      </c>
      <c r="G81">
        <v>17</v>
      </c>
      <c r="H81">
        <v>17</v>
      </c>
      <c r="I81">
        <v>17</v>
      </c>
      <c r="J81">
        <v>17</v>
      </c>
      <c r="K81">
        <v>17</v>
      </c>
      <c r="L81">
        <v>17</v>
      </c>
      <c r="M81">
        <v>17</v>
      </c>
      <c r="N81">
        <v>17</v>
      </c>
      <c r="O81">
        <v>17</v>
      </c>
      <c r="P81">
        <v>17</v>
      </c>
      <c r="Q81">
        <v>17</v>
      </c>
      <c r="R81">
        <v>17</v>
      </c>
      <c r="S81">
        <v>17</v>
      </c>
      <c r="T81">
        <v>17</v>
      </c>
      <c r="U81">
        <v>17</v>
      </c>
      <c r="V81">
        <v>17</v>
      </c>
      <c r="W81">
        <v>17</v>
      </c>
      <c r="X81">
        <v>17</v>
      </c>
      <c r="Y81">
        <v>17</v>
      </c>
      <c r="Z81">
        <v>17</v>
      </c>
    </row>
    <row r="82" spans="1:26" x14ac:dyDescent="0.25">
      <c r="A82" s="74" t="s">
        <v>193</v>
      </c>
      <c r="C82">
        <v>61</v>
      </c>
      <c r="D82">
        <v>61</v>
      </c>
      <c r="E82">
        <v>61</v>
      </c>
      <c r="F82">
        <v>61</v>
      </c>
      <c r="G82">
        <v>61</v>
      </c>
      <c r="H82">
        <v>61</v>
      </c>
      <c r="I82">
        <v>61</v>
      </c>
      <c r="J82">
        <v>61</v>
      </c>
      <c r="K82">
        <v>61</v>
      </c>
      <c r="L82">
        <v>61</v>
      </c>
      <c r="M82">
        <v>61</v>
      </c>
      <c r="N82">
        <v>61</v>
      </c>
      <c r="O82">
        <v>61</v>
      </c>
      <c r="P82">
        <v>61</v>
      </c>
      <c r="Q82">
        <v>61</v>
      </c>
      <c r="R82">
        <v>61</v>
      </c>
      <c r="S82">
        <v>61</v>
      </c>
      <c r="T82">
        <v>61</v>
      </c>
      <c r="U82">
        <v>61</v>
      </c>
      <c r="V82">
        <v>61</v>
      </c>
      <c r="W82">
        <v>61</v>
      </c>
      <c r="X82">
        <v>61</v>
      </c>
      <c r="Y82">
        <v>61</v>
      </c>
      <c r="Z82">
        <v>61</v>
      </c>
    </row>
    <row r="83" spans="1:26" x14ac:dyDescent="0.25">
      <c r="B83" s="74"/>
      <c r="C83" s="74"/>
      <c r="D83" s="74"/>
      <c r="E83" s="74"/>
    </row>
    <row r="84" spans="1:26" x14ac:dyDescent="0.25">
      <c r="A84" s="74" t="s">
        <v>190</v>
      </c>
      <c r="C84" s="48">
        <f>4278+3125+27865</f>
        <v>35268</v>
      </c>
      <c r="D84" s="48">
        <f>ROUNDDOWN(C84*1.01,0)</f>
        <v>35620</v>
      </c>
      <c r="E84" s="48">
        <f t="shared" ref="E84:Z84" si="23">ROUNDDOWN(D84*1.01,0)</f>
        <v>35976</v>
      </c>
      <c r="F84" s="48">
        <f t="shared" si="23"/>
        <v>36335</v>
      </c>
      <c r="G84" s="48">
        <f t="shared" si="23"/>
        <v>36698</v>
      </c>
      <c r="H84" s="48">
        <f t="shared" si="23"/>
        <v>37064</v>
      </c>
      <c r="I84" s="48">
        <f t="shared" si="23"/>
        <v>37434</v>
      </c>
      <c r="J84" s="48">
        <f t="shared" si="23"/>
        <v>37808</v>
      </c>
      <c r="K84" s="48">
        <f t="shared" si="23"/>
        <v>38186</v>
      </c>
      <c r="L84" s="48">
        <f t="shared" si="23"/>
        <v>38567</v>
      </c>
      <c r="M84" s="48">
        <f t="shared" si="23"/>
        <v>38952</v>
      </c>
      <c r="N84" s="48">
        <f t="shared" si="23"/>
        <v>39341</v>
      </c>
      <c r="O84" s="48">
        <f t="shared" si="23"/>
        <v>39734</v>
      </c>
      <c r="P84" s="48">
        <f t="shared" si="23"/>
        <v>40131</v>
      </c>
      <c r="Q84" s="48">
        <f t="shared" si="23"/>
        <v>40532</v>
      </c>
      <c r="R84" s="48">
        <f t="shared" si="23"/>
        <v>40937</v>
      </c>
      <c r="S84" s="48">
        <f t="shared" si="23"/>
        <v>41346</v>
      </c>
      <c r="T84" s="48">
        <f t="shared" si="23"/>
        <v>41759</v>
      </c>
      <c r="U84" s="48">
        <f t="shared" si="23"/>
        <v>42176</v>
      </c>
      <c r="V84" s="48">
        <f t="shared" si="23"/>
        <v>42597</v>
      </c>
      <c r="W84" s="48">
        <f t="shared" si="23"/>
        <v>43022</v>
      </c>
      <c r="X84" s="48">
        <f t="shared" si="23"/>
        <v>43452</v>
      </c>
      <c r="Y84" s="48">
        <f t="shared" si="23"/>
        <v>43886</v>
      </c>
      <c r="Z84" s="48">
        <f t="shared" si="23"/>
        <v>44324</v>
      </c>
    </row>
    <row r="85" spans="1:26" x14ac:dyDescent="0.25">
      <c r="A85" t="s">
        <v>122</v>
      </c>
      <c r="C85" s="48">
        <f>1778949+21783+51730</f>
        <v>1852462</v>
      </c>
      <c r="D85" s="48">
        <f>ROUNDDOWN(C85*1.01,0)</f>
        <v>1870986</v>
      </c>
      <c r="E85" s="48">
        <f t="shared" ref="E85:Z85" si="24">ROUNDDOWN(D85*1.01,0)</f>
        <v>1889695</v>
      </c>
      <c r="F85" s="48">
        <f t="shared" si="24"/>
        <v>1908591</v>
      </c>
      <c r="G85" s="48">
        <f t="shared" si="24"/>
        <v>1927676</v>
      </c>
      <c r="H85" s="48">
        <f t="shared" si="24"/>
        <v>1946952</v>
      </c>
      <c r="I85" s="48">
        <f t="shared" si="24"/>
        <v>1966421</v>
      </c>
      <c r="J85" s="48">
        <f t="shared" si="24"/>
        <v>1986085</v>
      </c>
      <c r="K85" s="48">
        <f t="shared" si="24"/>
        <v>2005945</v>
      </c>
      <c r="L85" s="48">
        <f t="shared" si="24"/>
        <v>2026004</v>
      </c>
      <c r="M85" s="48">
        <f t="shared" si="24"/>
        <v>2046264</v>
      </c>
      <c r="N85" s="48">
        <f t="shared" si="24"/>
        <v>2066726</v>
      </c>
      <c r="O85" s="48">
        <f t="shared" si="24"/>
        <v>2087393</v>
      </c>
      <c r="P85" s="48">
        <f t="shared" si="24"/>
        <v>2108266</v>
      </c>
      <c r="Q85" s="48">
        <f t="shared" si="24"/>
        <v>2129348</v>
      </c>
      <c r="R85" s="48">
        <f t="shared" si="24"/>
        <v>2150641</v>
      </c>
      <c r="S85" s="48">
        <f t="shared" si="24"/>
        <v>2172147</v>
      </c>
      <c r="T85" s="48">
        <f t="shared" si="24"/>
        <v>2193868</v>
      </c>
      <c r="U85" s="48">
        <f t="shared" si="24"/>
        <v>2215806</v>
      </c>
      <c r="V85" s="48">
        <f t="shared" si="24"/>
        <v>2237964</v>
      </c>
      <c r="W85" s="48">
        <f t="shared" si="24"/>
        <v>2260343</v>
      </c>
      <c r="X85" s="48">
        <f t="shared" si="24"/>
        <v>2282946</v>
      </c>
      <c r="Y85" s="48">
        <f t="shared" si="24"/>
        <v>2305775</v>
      </c>
      <c r="Z85" s="48">
        <f t="shared" si="24"/>
        <v>2328832</v>
      </c>
    </row>
    <row r="86" spans="1:26" x14ac:dyDescent="0.25">
      <c r="A86" t="s">
        <v>123</v>
      </c>
      <c r="C86" s="48">
        <f>27927+631+866</f>
        <v>29424</v>
      </c>
      <c r="D86" s="48">
        <f>ROUNDDOWN(C86*1.015,0)</f>
        <v>29865</v>
      </c>
      <c r="E86" s="48">
        <f t="shared" ref="E86:Z86" si="25">ROUNDDOWN(D86*1.015,0)</f>
        <v>30312</v>
      </c>
      <c r="F86" s="48">
        <f t="shared" si="25"/>
        <v>30766</v>
      </c>
      <c r="G86" s="48">
        <f t="shared" si="25"/>
        <v>31227</v>
      </c>
      <c r="H86" s="48">
        <f t="shared" si="25"/>
        <v>31695</v>
      </c>
      <c r="I86" s="48">
        <f t="shared" si="25"/>
        <v>32170</v>
      </c>
      <c r="J86" s="48">
        <f t="shared" si="25"/>
        <v>32652</v>
      </c>
      <c r="K86" s="48">
        <f t="shared" si="25"/>
        <v>33141</v>
      </c>
      <c r="L86" s="48">
        <f t="shared" si="25"/>
        <v>33638</v>
      </c>
      <c r="M86" s="48">
        <f t="shared" si="25"/>
        <v>34142</v>
      </c>
      <c r="N86" s="48">
        <f t="shared" si="25"/>
        <v>34654</v>
      </c>
      <c r="O86" s="48">
        <f t="shared" si="25"/>
        <v>35173</v>
      </c>
      <c r="P86" s="48">
        <f t="shared" si="25"/>
        <v>35700</v>
      </c>
      <c r="Q86" s="48">
        <f t="shared" si="25"/>
        <v>36235</v>
      </c>
      <c r="R86" s="48">
        <f t="shared" si="25"/>
        <v>36778</v>
      </c>
      <c r="S86" s="48">
        <f t="shared" si="25"/>
        <v>37329</v>
      </c>
      <c r="T86" s="48">
        <f t="shared" si="25"/>
        <v>37888</v>
      </c>
      <c r="U86" s="48">
        <f t="shared" si="25"/>
        <v>38456</v>
      </c>
      <c r="V86" s="48">
        <f t="shared" si="25"/>
        <v>39032</v>
      </c>
      <c r="W86" s="48">
        <f t="shared" si="25"/>
        <v>39617</v>
      </c>
      <c r="X86" s="48">
        <f t="shared" si="25"/>
        <v>40211</v>
      </c>
      <c r="Y86" s="48">
        <f t="shared" si="25"/>
        <v>40814</v>
      </c>
      <c r="Z86" s="48">
        <f t="shared" si="25"/>
        <v>41426</v>
      </c>
    </row>
    <row r="87" spans="1:26" x14ac:dyDescent="0.25">
      <c r="A87" t="s">
        <v>124</v>
      </c>
      <c r="C87" s="48">
        <f>663+111+577</f>
        <v>1351</v>
      </c>
      <c r="D87" s="48">
        <f>ROUNDDOWN(C87*1.015,0)</f>
        <v>1371</v>
      </c>
      <c r="E87" s="48">
        <f t="shared" ref="E87:Z87" si="26">ROUNDDOWN(D87*1.015,0)</f>
        <v>1391</v>
      </c>
      <c r="F87" s="48">
        <f t="shared" si="26"/>
        <v>1411</v>
      </c>
      <c r="G87" s="48">
        <f t="shared" si="26"/>
        <v>1432</v>
      </c>
      <c r="H87" s="48">
        <f t="shared" si="26"/>
        <v>1453</v>
      </c>
      <c r="I87" s="48">
        <f t="shared" si="26"/>
        <v>1474</v>
      </c>
      <c r="J87" s="48">
        <f t="shared" si="26"/>
        <v>1496</v>
      </c>
      <c r="K87" s="48">
        <f t="shared" si="26"/>
        <v>1518</v>
      </c>
      <c r="L87" s="48">
        <f t="shared" si="26"/>
        <v>1540</v>
      </c>
      <c r="M87" s="48">
        <f t="shared" si="26"/>
        <v>1563</v>
      </c>
      <c r="N87" s="48">
        <f t="shared" si="26"/>
        <v>1586</v>
      </c>
      <c r="O87" s="48">
        <f t="shared" si="26"/>
        <v>1609</v>
      </c>
      <c r="P87" s="48">
        <f t="shared" si="26"/>
        <v>1633</v>
      </c>
      <c r="Q87" s="48">
        <f t="shared" si="26"/>
        <v>1657</v>
      </c>
      <c r="R87" s="48">
        <f t="shared" si="26"/>
        <v>1681</v>
      </c>
      <c r="S87" s="48">
        <f t="shared" si="26"/>
        <v>1706</v>
      </c>
      <c r="T87" s="48">
        <f t="shared" si="26"/>
        <v>1731</v>
      </c>
      <c r="U87" s="48">
        <f t="shared" si="26"/>
        <v>1756</v>
      </c>
      <c r="V87" s="48">
        <f t="shared" si="26"/>
        <v>1782</v>
      </c>
      <c r="W87" s="48">
        <f t="shared" si="26"/>
        <v>1808</v>
      </c>
      <c r="X87" s="48">
        <f t="shared" si="26"/>
        <v>1835</v>
      </c>
      <c r="Y87" s="48">
        <f t="shared" si="26"/>
        <v>1862</v>
      </c>
      <c r="Z87" s="48">
        <f t="shared" si="26"/>
        <v>1889</v>
      </c>
    </row>
    <row r="88" spans="1:26" x14ac:dyDescent="0.25">
      <c r="A88" t="s">
        <v>125</v>
      </c>
      <c r="C88" s="48">
        <f>376+111+306</f>
        <v>793</v>
      </c>
      <c r="D88" s="48">
        <f>ROUNDDOWN(C88*1.02,0)</f>
        <v>808</v>
      </c>
      <c r="E88" s="48">
        <f t="shared" ref="E88:Z88" si="27">ROUNDDOWN(D88*1.02,0)</f>
        <v>824</v>
      </c>
      <c r="F88" s="48">
        <f t="shared" si="27"/>
        <v>840</v>
      </c>
      <c r="G88" s="48">
        <f t="shared" si="27"/>
        <v>856</v>
      </c>
      <c r="H88" s="48">
        <f t="shared" si="27"/>
        <v>873</v>
      </c>
      <c r="I88" s="48">
        <f t="shared" si="27"/>
        <v>890</v>
      </c>
      <c r="J88" s="48">
        <f t="shared" si="27"/>
        <v>907</v>
      </c>
      <c r="K88" s="48">
        <f t="shared" si="27"/>
        <v>925</v>
      </c>
      <c r="L88" s="48">
        <f t="shared" si="27"/>
        <v>943</v>
      </c>
      <c r="M88" s="48">
        <f t="shared" si="27"/>
        <v>961</v>
      </c>
      <c r="N88" s="48">
        <f t="shared" si="27"/>
        <v>980</v>
      </c>
      <c r="O88" s="48">
        <f t="shared" si="27"/>
        <v>999</v>
      </c>
      <c r="P88" s="48">
        <f t="shared" si="27"/>
        <v>1018</v>
      </c>
      <c r="Q88" s="48">
        <f t="shared" si="27"/>
        <v>1038</v>
      </c>
      <c r="R88" s="48">
        <f t="shared" si="27"/>
        <v>1058</v>
      </c>
      <c r="S88" s="48">
        <f t="shared" si="27"/>
        <v>1079</v>
      </c>
      <c r="T88" s="48">
        <f t="shared" si="27"/>
        <v>1100</v>
      </c>
      <c r="U88" s="48">
        <f t="shared" si="27"/>
        <v>1122</v>
      </c>
      <c r="V88" s="48">
        <f t="shared" si="27"/>
        <v>1144</v>
      </c>
      <c r="W88" s="48">
        <f t="shared" si="27"/>
        <v>1166</v>
      </c>
      <c r="X88" s="48">
        <f t="shared" si="27"/>
        <v>1189</v>
      </c>
      <c r="Y88" s="48">
        <f t="shared" si="27"/>
        <v>1212</v>
      </c>
      <c r="Z88" s="48">
        <f t="shared" si="27"/>
        <v>1236</v>
      </c>
    </row>
    <row r="89" spans="1:26" x14ac:dyDescent="0.25">
      <c r="A89" t="s">
        <v>126</v>
      </c>
      <c r="C89" s="48">
        <f>111+65</f>
        <v>176</v>
      </c>
      <c r="D89" s="48">
        <f>ROUNDDOWN(C89*1.02,0)</f>
        <v>179</v>
      </c>
      <c r="E89" s="48">
        <f t="shared" ref="E89:Z89" si="28">ROUNDDOWN(D89*1.02,0)</f>
        <v>182</v>
      </c>
      <c r="F89" s="48">
        <f t="shared" si="28"/>
        <v>185</v>
      </c>
      <c r="G89" s="48">
        <f t="shared" si="28"/>
        <v>188</v>
      </c>
      <c r="H89" s="48">
        <f t="shared" si="28"/>
        <v>191</v>
      </c>
      <c r="I89" s="48">
        <f t="shared" si="28"/>
        <v>194</v>
      </c>
      <c r="J89" s="48">
        <f t="shared" si="28"/>
        <v>197</v>
      </c>
      <c r="K89" s="48">
        <f t="shared" si="28"/>
        <v>200</v>
      </c>
      <c r="L89" s="48">
        <f t="shared" si="28"/>
        <v>204</v>
      </c>
      <c r="M89" s="48">
        <f t="shared" si="28"/>
        <v>208</v>
      </c>
      <c r="N89" s="48">
        <f t="shared" si="28"/>
        <v>212</v>
      </c>
      <c r="O89" s="48">
        <f t="shared" si="28"/>
        <v>216</v>
      </c>
      <c r="P89" s="48">
        <f t="shared" si="28"/>
        <v>220</v>
      </c>
      <c r="Q89" s="48">
        <f t="shared" si="28"/>
        <v>224</v>
      </c>
      <c r="R89" s="48">
        <f t="shared" si="28"/>
        <v>228</v>
      </c>
      <c r="S89" s="48">
        <f t="shared" si="28"/>
        <v>232</v>
      </c>
      <c r="T89" s="48">
        <f t="shared" si="28"/>
        <v>236</v>
      </c>
      <c r="U89" s="48">
        <f t="shared" si="28"/>
        <v>240</v>
      </c>
      <c r="V89" s="48">
        <f t="shared" si="28"/>
        <v>244</v>
      </c>
      <c r="W89" s="48">
        <f t="shared" si="28"/>
        <v>248</v>
      </c>
      <c r="X89" s="48">
        <f t="shared" si="28"/>
        <v>252</v>
      </c>
      <c r="Y89" s="48">
        <f t="shared" si="28"/>
        <v>257</v>
      </c>
      <c r="Z89" s="48">
        <f t="shared" si="28"/>
        <v>262</v>
      </c>
    </row>
    <row r="90" spans="1:26" x14ac:dyDescent="0.25">
      <c r="A90" t="s">
        <v>194</v>
      </c>
      <c r="C90" s="48">
        <f>ROUNDDOWN(0.15*C91,0)</f>
        <v>109</v>
      </c>
      <c r="D90" s="48">
        <f t="shared" ref="D90:Z90" si="29">ROUNDDOWN(0.15*D91,0)</f>
        <v>113</v>
      </c>
      <c r="E90" s="48">
        <f t="shared" si="29"/>
        <v>118</v>
      </c>
      <c r="F90" s="48">
        <f t="shared" si="29"/>
        <v>122</v>
      </c>
      <c r="G90" s="48">
        <f t="shared" si="29"/>
        <v>126</v>
      </c>
      <c r="H90" s="48">
        <f t="shared" si="29"/>
        <v>131</v>
      </c>
      <c r="I90" s="48">
        <f t="shared" si="29"/>
        <v>135</v>
      </c>
      <c r="J90" s="48">
        <f t="shared" si="29"/>
        <v>140</v>
      </c>
      <c r="K90" s="48">
        <f t="shared" si="29"/>
        <v>144</v>
      </c>
      <c r="L90" s="48">
        <f t="shared" si="29"/>
        <v>148</v>
      </c>
      <c r="M90" s="48">
        <f t="shared" si="29"/>
        <v>153</v>
      </c>
      <c r="N90" s="48">
        <f t="shared" si="29"/>
        <v>157</v>
      </c>
      <c r="O90" s="48">
        <f t="shared" si="29"/>
        <v>161</v>
      </c>
      <c r="P90" s="48">
        <f t="shared" si="29"/>
        <v>166</v>
      </c>
      <c r="Q90" s="48">
        <f t="shared" si="29"/>
        <v>170</v>
      </c>
      <c r="R90" s="48">
        <f t="shared" si="29"/>
        <v>175</v>
      </c>
      <c r="S90" s="48">
        <f t="shared" si="29"/>
        <v>179</v>
      </c>
      <c r="T90" s="48">
        <f t="shared" si="29"/>
        <v>183</v>
      </c>
      <c r="U90" s="48">
        <f t="shared" si="29"/>
        <v>188</v>
      </c>
      <c r="V90" s="48">
        <f t="shared" si="29"/>
        <v>192</v>
      </c>
      <c r="W90" s="48">
        <f t="shared" si="29"/>
        <v>196</v>
      </c>
      <c r="X90" s="48">
        <f t="shared" si="29"/>
        <v>201</v>
      </c>
      <c r="Y90" s="48">
        <f t="shared" si="29"/>
        <v>205</v>
      </c>
      <c r="Z90" s="48">
        <f t="shared" si="29"/>
        <v>210</v>
      </c>
    </row>
    <row r="91" spans="1:26" x14ac:dyDescent="0.25">
      <c r="A91" t="s">
        <v>54</v>
      </c>
      <c r="C91" s="48">
        <f t="shared" ref="C91:Z91" si="30">C9</f>
        <v>729.16666666666663</v>
      </c>
      <c r="D91" s="48">
        <f t="shared" si="30"/>
        <v>758.33333333333326</v>
      </c>
      <c r="E91" s="48">
        <f t="shared" si="30"/>
        <v>787.49999999999989</v>
      </c>
      <c r="F91" s="48">
        <f t="shared" si="30"/>
        <v>816.66666666666652</v>
      </c>
      <c r="G91" s="48">
        <f t="shared" si="30"/>
        <v>845.83333333333314</v>
      </c>
      <c r="H91" s="48">
        <f t="shared" si="30"/>
        <v>874.99999999999977</v>
      </c>
      <c r="I91" s="48">
        <f t="shared" si="30"/>
        <v>904.1666666666664</v>
      </c>
      <c r="J91" s="48">
        <f t="shared" si="30"/>
        <v>933.33333333333303</v>
      </c>
      <c r="K91" s="48">
        <f t="shared" si="30"/>
        <v>962.49999999999966</v>
      </c>
      <c r="L91" s="48">
        <f t="shared" si="30"/>
        <v>991.66666666666629</v>
      </c>
      <c r="M91" s="48">
        <f t="shared" si="30"/>
        <v>1020.8333333333329</v>
      </c>
      <c r="N91" s="48">
        <f t="shared" si="30"/>
        <v>1049.9999999999995</v>
      </c>
      <c r="O91" s="48">
        <f t="shared" si="30"/>
        <v>1079.1666666666663</v>
      </c>
      <c r="P91" s="48">
        <f t="shared" si="30"/>
        <v>1108.333333333333</v>
      </c>
      <c r="Q91" s="48">
        <f t="shared" si="30"/>
        <v>1137.4999999999998</v>
      </c>
      <c r="R91" s="48">
        <f t="shared" si="30"/>
        <v>1166.6666666666665</v>
      </c>
      <c r="S91" s="48">
        <f t="shared" si="30"/>
        <v>1195.8333333333333</v>
      </c>
      <c r="T91" s="48">
        <f t="shared" si="30"/>
        <v>1225</v>
      </c>
      <c r="U91" s="48">
        <f t="shared" si="30"/>
        <v>1254.1666666666667</v>
      </c>
      <c r="V91" s="48">
        <f t="shared" si="30"/>
        <v>1283.3333333333335</v>
      </c>
      <c r="W91" s="48">
        <f t="shared" si="30"/>
        <v>1312.5000000000002</v>
      </c>
      <c r="X91" s="48">
        <f t="shared" si="30"/>
        <v>1341.666666666667</v>
      </c>
      <c r="Y91" s="48">
        <f t="shared" si="30"/>
        <v>1370.8333333333337</v>
      </c>
      <c r="Z91" s="48">
        <f t="shared" si="30"/>
        <v>1400.0000000000005</v>
      </c>
    </row>
    <row r="93" spans="1:26" x14ac:dyDescent="0.25">
      <c r="A93" s="74" t="s">
        <v>127</v>
      </c>
      <c r="C93">
        <v>555</v>
      </c>
      <c r="D93">
        <v>555</v>
      </c>
      <c r="E93">
        <v>555</v>
      </c>
      <c r="F93">
        <v>555</v>
      </c>
      <c r="G93">
        <v>555</v>
      </c>
      <c r="H93">
        <v>555</v>
      </c>
      <c r="I93">
        <v>555</v>
      </c>
      <c r="J93">
        <v>555</v>
      </c>
      <c r="K93">
        <v>555</v>
      </c>
      <c r="L93">
        <v>555</v>
      </c>
      <c r="M93">
        <v>555</v>
      </c>
      <c r="N93">
        <v>555</v>
      </c>
      <c r="O93">
        <v>555</v>
      </c>
      <c r="P93">
        <v>555</v>
      </c>
      <c r="Q93">
        <v>555</v>
      </c>
      <c r="R93">
        <v>555</v>
      </c>
      <c r="S93">
        <v>555</v>
      </c>
      <c r="T93">
        <v>555</v>
      </c>
      <c r="U93">
        <v>555</v>
      </c>
      <c r="V93">
        <v>555</v>
      </c>
      <c r="W93">
        <v>555</v>
      </c>
      <c r="X93">
        <v>555</v>
      </c>
      <c r="Y93">
        <v>555</v>
      </c>
      <c r="Z93">
        <v>555</v>
      </c>
    </row>
    <row r="94" spans="1:26" x14ac:dyDescent="0.25">
      <c r="A94" s="74" t="s">
        <v>80</v>
      </c>
      <c r="C94">
        <v>555</v>
      </c>
      <c r="D94">
        <v>555</v>
      </c>
      <c r="E94">
        <v>555</v>
      </c>
      <c r="F94">
        <v>555</v>
      </c>
      <c r="G94">
        <v>555</v>
      </c>
      <c r="H94">
        <v>555</v>
      </c>
      <c r="I94">
        <v>555</v>
      </c>
      <c r="J94">
        <v>555</v>
      </c>
      <c r="K94">
        <v>555</v>
      </c>
      <c r="L94">
        <v>555</v>
      </c>
      <c r="M94">
        <v>555</v>
      </c>
      <c r="N94">
        <v>555</v>
      </c>
      <c r="O94">
        <v>555</v>
      </c>
      <c r="P94">
        <v>555</v>
      </c>
      <c r="Q94">
        <v>555</v>
      </c>
      <c r="R94">
        <v>555</v>
      </c>
      <c r="S94">
        <v>555</v>
      </c>
      <c r="T94">
        <v>555</v>
      </c>
      <c r="U94">
        <v>555</v>
      </c>
      <c r="V94">
        <v>555</v>
      </c>
      <c r="W94">
        <v>555</v>
      </c>
      <c r="X94">
        <v>555</v>
      </c>
      <c r="Y94">
        <v>555</v>
      </c>
      <c r="Z94">
        <v>555</v>
      </c>
    </row>
    <row r="95" spans="1:26" x14ac:dyDescent="0.25">
      <c r="A95" s="74" t="s">
        <v>187</v>
      </c>
      <c r="C95">
        <v>565</v>
      </c>
      <c r="D95">
        <v>565</v>
      </c>
      <c r="E95">
        <v>565</v>
      </c>
      <c r="F95">
        <v>565</v>
      </c>
      <c r="G95">
        <v>565</v>
      </c>
      <c r="H95">
        <v>565</v>
      </c>
      <c r="I95">
        <v>565</v>
      </c>
      <c r="J95">
        <v>565</v>
      </c>
      <c r="K95">
        <v>565</v>
      </c>
      <c r="L95">
        <v>565</v>
      </c>
      <c r="M95">
        <v>565</v>
      </c>
      <c r="N95">
        <v>565</v>
      </c>
      <c r="O95">
        <v>565</v>
      </c>
      <c r="P95">
        <v>565</v>
      </c>
      <c r="Q95">
        <v>565</v>
      </c>
      <c r="R95">
        <v>565</v>
      </c>
      <c r="S95">
        <v>565</v>
      </c>
      <c r="T95">
        <v>565</v>
      </c>
      <c r="U95">
        <v>565</v>
      </c>
      <c r="V95">
        <v>565</v>
      </c>
      <c r="W95">
        <v>565</v>
      </c>
      <c r="X95">
        <v>565</v>
      </c>
      <c r="Y95">
        <v>565</v>
      </c>
      <c r="Z95">
        <v>565</v>
      </c>
    </row>
    <row r="96" spans="1:26" x14ac:dyDescent="0.25">
      <c r="A96" s="74" t="s">
        <v>188</v>
      </c>
      <c r="C96">
        <v>565</v>
      </c>
      <c r="D96">
        <v>565</v>
      </c>
      <c r="E96">
        <v>565</v>
      </c>
      <c r="F96">
        <v>565</v>
      </c>
      <c r="G96">
        <v>565</v>
      </c>
      <c r="H96">
        <v>565</v>
      </c>
      <c r="I96">
        <v>565</v>
      </c>
      <c r="J96">
        <v>565</v>
      </c>
      <c r="K96">
        <v>565</v>
      </c>
      <c r="L96">
        <v>565</v>
      </c>
      <c r="M96">
        <v>565</v>
      </c>
      <c r="N96">
        <v>565</v>
      </c>
      <c r="O96">
        <v>565</v>
      </c>
      <c r="P96">
        <v>565</v>
      </c>
      <c r="Q96">
        <v>565</v>
      </c>
      <c r="R96">
        <v>565</v>
      </c>
      <c r="S96">
        <v>565</v>
      </c>
      <c r="T96">
        <v>565</v>
      </c>
      <c r="U96">
        <v>565</v>
      </c>
      <c r="V96">
        <v>565</v>
      </c>
      <c r="W96">
        <v>565</v>
      </c>
      <c r="X96">
        <v>565</v>
      </c>
      <c r="Y96">
        <v>565</v>
      </c>
      <c r="Z96">
        <v>565</v>
      </c>
    </row>
    <row r="97" spans="1:31" x14ac:dyDescent="0.25">
      <c r="A97" s="75" t="s">
        <v>189</v>
      </c>
      <c r="C97">
        <v>7</v>
      </c>
      <c r="D97">
        <v>7</v>
      </c>
      <c r="E97">
        <v>7</v>
      </c>
      <c r="F97">
        <v>7</v>
      </c>
      <c r="G97">
        <v>7</v>
      </c>
      <c r="H97">
        <v>7</v>
      </c>
      <c r="I97">
        <v>7</v>
      </c>
      <c r="J97">
        <v>7</v>
      </c>
      <c r="K97">
        <v>7</v>
      </c>
      <c r="L97">
        <v>7</v>
      </c>
      <c r="M97">
        <v>7</v>
      </c>
      <c r="N97">
        <v>7</v>
      </c>
      <c r="O97">
        <v>7</v>
      </c>
      <c r="P97">
        <v>7</v>
      </c>
      <c r="Q97">
        <v>7</v>
      </c>
      <c r="R97">
        <v>7</v>
      </c>
      <c r="S97">
        <v>7</v>
      </c>
      <c r="T97">
        <v>7</v>
      </c>
      <c r="U97">
        <v>7</v>
      </c>
      <c r="V97">
        <v>7</v>
      </c>
      <c r="W97">
        <v>7</v>
      </c>
      <c r="X97">
        <v>7</v>
      </c>
      <c r="Y97">
        <v>7</v>
      </c>
      <c r="Z97">
        <v>7</v>
      </c>
    </row>
    <row r="99" spans="1:31" x14ac:dyDescent="0.25">
      <c r="A99" t="s">
        <v>55</v>
      </c>
      <c r="B99" s="74"/>
      <c r="C99" s="76">
        <f t="shared" ref="C99:Z99" si="31">C32</f>
        <v>1170671.6666666667</v>
      </c>
      <c r="D99" s="76">
        <f t="shared" si="31"/>
        <v>1260723.3333333335</v>
      </c>
      <c r="E99" s="76">
        <f t="shared" si="31"/>
        <v>1350775</v>
      </c>
      <c r="F99" s="76">
        <f t="shared" si="31"/>
        <v>1440826.666666667</v>
      </c>
      <c r="G99" s="76">
        <f t="shared" si="31"/>
        <v>1530878.3333333335</v>
      </c>
      <c r="H99" s="76">
        <f t="shared" si="31"/>
        <v>1604925.0000000002</v>
      </c>
      <c r="I99" s="76">
        <f t="shared" si="31"/>
        <v>1694976.6666666667</v>
      </c>
      <c r="J99" s="76">
        <f t="shared" si="31"/>
        <v>1785028.3333333335</v>
      </c>
      <c r="K99" s="76">
        <f t="shared" si="31"/>
        <v>1875080</v>
      </c>
      <c r="L99" s="76">
        <f t="shared" si="31"/>
        <v>1965131.6666666665</v>
      </c>
      <c r="M99" s="76">
        <f t="shared" si="31"/>
        <v>2055183.3333333333</v>
      </c>
      <c r="N99" s="76">
        <f t="shared" si="31"/>
        <v>2145235</v>
      </c>
      <c r="O99" s="76">
        <f t="shared" si="31"/>
        <v>2235286.666666666</v>
      </c>
      <c r="P99" s="76">
        <f t="shared" si="31"/>
        <v>2325338.333333333</v>
      </c>
      <c r="Q99" s="76">
        <f t="shared" si="31"/>
        <v>2415389.9999999995</v>
      </c>
      <c r="R99" s="76">
        <f t="shared" si="31"/>
        <v>2505441.666666666</v>
      </c>
      <c r="S99" s="76">
        <f t="shared" si="31"/>
        <v>2595493.333333333</v>
      </c>
      <c r="T99" s="76">
        <f t="shared" si="31"/>
        <v>2685544.9999999991</v>
      </c>
      <c r="U99" s="76">
        <f t="shared" si="31"/>
        <v>2775596.666666666</v>
      </c>
      <c r="V99" s="76">
        <f t="shared" si="31"/>
        <v>2865648.3333333326</v>
      </c>
      <c r="W99" s="76">
        <f t="shared" si="31"/>
        <v>2955699.9999999991</v>
      </c>
      <c r="X99" s="76">
        <f t="shared" si="31"/>
        <v>3045751.6666666656</v>
      </c>
      <c r="Y99" s="76">
        <f t="shared" si="31"/>
        <v>3135803.3333333321</v>
      </c>
      <c r="Z99" s="76">
        <f t="shared" si="31"/>
        <v>3209849.9999999991</v>
      </c>
    </row>
    <row r="100" spans="1:31" x14ac:dyDescent="0.25">
      <c r="A100" t="s">
        <v>121</v>
      </c>
      <c r="C100" s="62">
        <f>C99*7</f>
        <v>8194701.666666667</v>
      </c>
      <c r="D100" s="62">
        <f t="shared" ref="D100:Z100" si="32">D99*7</f>
        <v>8825063.333333334</v>
      </c>
      <c r="E100" s="62">
        <f t="shared" si="32"/>
        <v>9455425</v>
      </c>
      <c r="F100" s="62">
        <f t="shared" si="32"/>
        <v>10085786.666666668</v>
      </c>
      <c r="G100" s="62">
        <f t="shared" si="32"/>
        <v>10716148.333333334</v>
      </c>
      <c r="H100" s="62">
        <f t="shared" si="32"/>
        <v>11234475.000000002</v>
      </c>
      <c r="I100" s="62">
        <f t="shared" si="32"/>
        <v>11864836.666666668</v>
      </c>
      <c r="J100" s="62">
        <f t="shared" si="32"/>
        <v>12495198.333333334</v>
      </c>
      <c r="K100" s="62">
        <f t="shared" si="32"/>
        <v>13125560</v>
      </c>
      <c r="L100" s="62">
        <f t="shared" si="32"/>
        <v>13755921.666666666</v>
      </c>
      <c r="M100" s="62">
        <f t="shared" si="32"/>
        <v>14386283.333333332</v>
      </c>
      <c r="N100" s="62">
        <f t="shared" si="32"/>
        <v>15016645</v>
      </c>
      <c r="O100" s="62">
        <f t="shared" si="32"/>
        <v>15647006.666666662</v>
      </c>
      <c r="P100" s="62">
        <f t="shared" si="32"/>
        <v>16277368.333333332</v>
      </c>
      <c r="Q100" s="62">
        <f t="shared" si="32"/>
        <v>16907729.999999996</v>
      </c>
      <c r="R100" s="62">
        <f t="shared" si="32"/>
        <v>17538091.666666664</v>
      </c>
      <c r="S100" s="62">
        <f t="shared" si="32"/>
        <v>18168453.333333332</v>
      </c>
      <c r="T100" s="62">
        <f t="shared" si="32"/>
        <v>18798814.999999993</v>
      </c>
      <c r="U100" s="62">
        <f t="shared" si="32"/>
        <v>19429176.666666664</v>
      </c>
      <c r="V100" s="62">
        <f t="shared" si="32"/>
        <v>20059538.333333328</v>
      </c>
      <c r="W100" s="62">
        <f t="shared" si="32"/>
        <v>20689899.999999993</v>
      </c>
      <c r="X100" s="62">
        <f t="shared" si="32"/>
        <v>21320261.66666666</v>
      </c>
      <c r="Y100" s="62">
        <f t="shared" si="32"/>
        <v>21950623.333333325</v>
      </c>
      <c r="Z100" s="62">
        <f t="shared" si="32"/>
        <v>22468949.999999993</v>
      </c>
    </row>
    <row r="101" spans="1:31" x14ac:dyDescent="0.25">
      <c r="A101" t="s">
        <v>185</v>
      </c>
      <c r="C101">
        <f>ROUNDDOWN(5.5*C102,0)</f>
        <v>4010</v>
      </c>
      <c r="D101">
        <f t="shared" ref="D101:Z101" si="33">ROUNDDOWN(5.5*D102,0)</f>
        <v>4170</v>
      </c>
      <c r="E101">
        <f t="shared" si="33"/>
        <v>4331</v>
      </c>
      <c r="F101">
        <f t="shared" si="33"/>
        <v>4491</v>
      </c>
      <c r="G101">
        <f t="shared" si="33"/>
        <v>4652</v>
      </c>
      <c r="H101">
        <f t="shared" si="33"/>
        <v>4812</v>
      </c>
      <c r="I101">
        <f t="shared" si="33"/>
        <v>4972</v>
      </c>
      <c r="J101">
        <f t="shared" si="33"/>
        <v>5133</v>
      </c>
      <c r="K101">
        <f t="shared" si="33"/>
        <v>5293</v>
      </c>
      <c r="L101">
        <f t="shared" si="33"/>
        <v>5454</v>
      </c>
      <c r="M101">
        <f t="shared" si="33"/>
        <v>5614</v>
      </c>
      <c r="N101">
        <f t="shared" si="33"/>
        <v>5775</v>
      </c>
      <c r="O101">
        <f t="shared" si="33"/>
        <v>5935</v>
      </c>
      <c r="P101">
        <f t="shared" si="33"/>
        <v>6095</v>
      </c>
      <c r="Q101">
        <f t="shared" si="33"/>
        <v>6256</v>
      </c>
      <c r="R101">
        <f t="shared" si="33"/>
        <v>6416</v>
      </c>
      <c r="S101">
        <f t="shared" si="33"/>
        <v>6577</v>
      </c>
      <c r="T101">
        <f t="shared" si="33"/>
        <v>6737</v>
      </c>
      <c r="U101">
        <f t="shared" si="33"/>
        <v>6897</v>
      </c>
      <c r="V101">
        <f t="shared" si="33"/>
        <v>7058</v>
      </c>
      <c r="W101">
        <f t="shared" si="33"/>
        <v>7218</v>
      </c>
      <c r="X101">
        <f t="shared" si="33"/>
        <v>7379</v>
      </c>
      <c r="Y101">
        <f t="shared" si="33"/>
        <v>7539</v>
      </c>
      <c r="Z101">
        <f t="shared" si="33"/>
        <v>7700</v>
      </c>
    </row>
    <row r="102" spans="1:31" x14ac:dyDescent="0.25">
      <c r="A102" t="s">
        <v>186</v>
      </c>
      <c r="C102">
        <f t="shared" ref="C102:Z102" si="34">C91</f>
        <v>729.16666666666663</v>
      </c>
      <c r="D102">
        <f t="shared" si="34"/>
        <v>758.33333333333326</v>
      </c>
      <c r="E102">
        <f t="shared" si="34"/>
        <v>787.49999999999989</v>
      </c>
      <c r="F102">
        <f t="shared" si="34"/>
        <v>816.66666666666652</v>
      </c>
      <c r="G102">
        <f t="shared" si="34"/>
        <v>845.83333333333314</v>
      </c>
      <c r="H102">
        <f t="shared" si="34"/>
        <v>874.99999999999977</v>
      </c>
      <c r="I102">
        <f t="shared" si="34"/>
        <v>904.1666666666664</v>
      </c>
      <c r="J102">
        <f t="shared" si="34"/>
        <v>933.33333333333303</v>
      </c>
      <c r="K102">
        <f t="shared" si="34"/>
        <v>962.49999999999966</v>
      </c>
      <c r="L102">
        <f t="shared" si="34"/>
        <v>991.66666666666629</v>
      </c>
      <c r="M102">
        <f t="shared" si="34"/>
        <v>1020.8333333333329</v>
      </c>
      <c r="N102">
        <f t="shared" si="34"/>
        <v>1049.9999999999995</v>
      </c>
      <c r="O102">
        <f t="shared" si="34"/>
        <v>1079.1666666666663</v>
      </c>
      <c r="P102">
        <f t="shared" si="34"/>
        <v>1108.333333333333</v>
      </c>
      <c r="Q102">
        <f t="shared" si="34"/>
        <v>1137.4999999999998</v>
      </c>
      <c r="R102">
        <f t="shared" si="34"/>
        <v>1166.6666666666665</v>
      </c>
      <c r="S102">
        <f t="shared" si="34"/>
        <v>1195.8333333333333</v>
      </c>
      <c r="T102">
        <f t="shared" si="34"/>
        <v>1225</v>
      </c>
      <c r="U102">
        <f t="shared" si="34"/>
        <v>1254.1666666666667</v>
      </c>
      <c r="V102">
        <f t="shared" si="34"/>
        <v>1283.3333333333335</v>
      </c>
      <c r="W102">
        <f t="shared" si="34"/>
        <v>1312.5000000000002</v>
      </c>
      <c r="X102">
        <f t="shared" si="34"/>
        <v>1341.666666666667</v>
      </c>
      <c r="Y102">
        <f t="shared" si="34"/>
        <v>1370.8333333333337</v>
      </c>
      <c r="Z102">
        <f t="shared" si="34"/>
        <v>1400.0000000000005</v>
      </c>
    </row>
    <row r="104" spans="1:31" ht="15.75" x14ac:dyDescent="0.25">
      <c r="A104" s="72" t="s">
        <v>58</v>
      </c>
      <c r="C104" s="109">
        <f>C107*$C$49</f>
        <v>278034.52083333331</v>
      </c>
      <c r="D104" s="109">
        <f t="shared" ref="D104:I104" si="35">D107*$C$49</f>
        <v>299421.79166666669</v>
      </c>
      <c r="E104" s="109">
        <f t="shared" si="35"/>
        <v>320809.0625</v>
      </c>
      <c r="F104" s="109">
        <f t="shared" si="35"/>
        <v>342196.33333333337</v>
      </c>
      <c r="G104" s="109">
        <f t="shared" si="35"/>
        <v>363583.60416666669</v>
      </c>
      <c r="H104" s="109">
        <f t="shared" si="35"/>
        <v>381169.68750000006</v>
      </c>
      <c r="I104" s="109">
        <f t="shared" si="35"/>
        <v>402556.95833333331</v>
      </c>
      <c r="J104" s="109">
        <f t="shared" ref="J104:Z104" si="36">J107*$C$49</f>
        <v>423944.22916666669</v>
      </c>
      <c r="K104" s="109">
        <f t="shared" si="36"/>
        <v>445331.5</v>
      </c>
      <c r="L104" s="109">
        <f t="shared" si="36"/>
        <v>466718.77083333326</v>
      </c>
      <c r="M104" s="109">
        <f t="shared" si="36"/>
        <v>488106.04166666663</v>
      </c>
      <c r="N104" s="109">
        <f t="shared" si="36"/>
        <v>509493.3125</v>
      </c>
      <c r="O104" s="109">
        <f t="shared" si="36"/>
        <v>530880.58333333314</v>
      </c>
      <c r="P104" s="109">
        <f t="shared" si="36"/>
        <v>552267.85416666651</v>
      </c>
      <c r="Q104" s="109">
        <f t="shared" si="36"/>
        <v>573655.12499999988</v>
      </c>
      <c r="R104" s="109">
        <f t="shared" si="36"/>
        <v>595042.39583333314</v>
      </c>
      <c r="S104" s="109">
        <f t="shared" si="36"/>
        <v>616429.66666666651</v>
      </c>
      <c r="T104" s="109">
        <f t="shared" si="36"/>
        <v>637816.93749999977</v>
      </c>
      <c r="U104" s="109">
        <f t="shared" si="36"/>
        <v>659204.20833333314</v>
      </c>
      <c r="V104" s="109">
        <f t="shared" si="36"/>
        <v>680591.4791666664</v>
      </c>
      <c r="W104" s="109">
        <f t="shared" si="36"/>
        <v>701978.74999999977</v>
      </c>
      <c r="X104" s="109">
        <f t="shared" si="36"/>
        <v>723366.02083333302</v>
      </c>
      <c r="Y104" s="109">
        <f t="shared" si="36"/>
        <v>744753.2916666664</v>
      </c>
      <c r="Z104" s="109">
        <f t="shared" si="36"/>
        <v>762339.37499999977</v>
      </c>
      <c r="AA104" s="109"/>
      <c r="AB104" s="109"/>
      <c r="AC104" s="109"/>
      <c r="AD104" s="109"/>
      <c r="AE104" s="109"/>
    </row>
    <row r="105" spans="1:31" ht="15.75" x14ac:dyDescent="0.25">
      <c r="A105" s="72" t="s">
        <v>178</v>
      </c>
      <c r="C105" s="107">
        <f t="shared" ref="C105:Z105" si="37">C106*$C$56</f>
        <v>374011.63982360536</v>
      </c>
      <c r="D105" s="107">
        <f t="shared" si="37"/>
        <v>402781.76596388267</v>
      </c>
      <c r="E105" s="107">
        <f t="shared" si="37"/>
        <v>431551.89210415992</v>
      </c>
      <c r="F105" s="107">
        <f t="shared" si="37"/>
        <v>460322.01824443741</v>
      </c>
      <c r="G105" s="107">
        <f t="shared" si="37"/>
        <v>489092.14438471466</v>
      </c>
      <c r="H105" s="107">
        <f t="shared" si="37"/>
        <v>512748.91853585461</v>
      </c>
      <c r="I105" s="107">
        <f t="shared" si="37"/>
        <v>541519.04467613192</v>
      </c>
      <c r="J105" s="107">
        <f t="shared" si="37"/>
        <v>570289.17081640929</v>
      </c>
      <c r="K105" s="107">
        <f t="shared" si="37"/>
        <v>599059.29695668665</v>
      </c>
      <c r="L105" s="107">
        <f t="shared" si="37"/>
        <v>627829.42309696379</v>
      </c>
      <c r="M105" s="107">
        <f t="shared" si="37"/>
        <v>656599.54923724115</v>
      </c>
      <c r="N105" s="107">
        <f t="shared" si="37"/>
        <v>685369.67537751864</v>
      </c>
      <c r="O105" s="107">
        <f t="shared" si="37"/>
        <v>714139.80151779565</v>
      </c>
      <c r="P105" s="107">
        <f t="shared" si="37"/>
        <v>742909.92765807314</v>
      </c>
      <c r="Q105" s="107">
        <f t="shared" si="37"/>
        <v>771680.05379835051</v>
      </c>
      <c r="R105" s="107">
        <f t="shared" si="37"/>
        <v>800450.17993862764</v>
      </c>
      <c r="S105" s="107">
        <f t="shared" si="37"/>
        <v>829220.30607890512</v>
      </c>
      <c r="T105" s="107">
        <f t="shared" si="37"/>
        <v>857990.43221918214</v>
      </c>
      <c r="U105" s="107">
        <f t="shared" si="37"/>
        <v>886760.55835945962</v>
      </c>
      <c r="V105" s="107">
        <f t="shared" si="37"/>
        <v>915530.68449973699</v>
      </c>
      <c r="W105" s="107">
        <f t="shared" si="37"/>
        <v>944300.81064001413</v>
      </c>
      <c r="X105" s="107">
        <f t="shared" si="37"/>
        <v>973070.93678029149</v>
      </c>
      <c r="Y105" s="107">
        <f t="shared" si="37"/>
        <v>1001841.0629205689</v>
      </c>
      <c r="Z105" s="107">
        <f t="shared" si="37"/>
        <v>1025497.8370717089</v>
      </c>
      <c r="AA105" s="107"/>
      <c r="AB105" s="107"/>
      <c r="AC105" s="107"/>
      <c r="AD105" s="107"/>
      <c r="AE105" s="107"/>
    </row>
    <row r="106" spans="1:31" ht="15.75" x14ac:dyDescent="0.25">
      <c r="A106" s="72" t="s">
        <v>179</v>
      </c>
      <c r="C106" s="107">
        <f t="shared" ref="C106:Z106" si="38">C107*$C$57</f>
        <v>343468.8282914033</v>
      </c>
      <c r="D106" s="107">
        <f t="shared" si="38"/>
        <v>369889.50739074202</v>
      </c>
      <c r="E106" s="107">
        <f t="shared" si="38"/>
        <v>396310.18649008067</v>
      </c>
      <c r="F106" s="107">
        <f t="shared" si="38"/>
        <v>422730.8655894195</v>
      </c>
      <c r="G106" s="107">
        <f t="shared" si="38"/>
        <v>449151.54468875815</v>
      </c>
      <c r="H106" s="107">
        <f t="shared" si="38"/>
        <v>470876.44208146643</v>
      </c>
      <c r="I106" s="107">
        <f t="shared" si="38"/>
        <v>497297.12118080514</v>
      </c>
      <c r="J106" s="107">
        <f t="shared" si="38"/>
        <v>523717.80028014386</v>
      </c>
      <c r="K106" s="107">
        <f t="shared" si="38"/>
        <v>550138.47937948257</v>
      </c>
      <c r="L106" s="107">
        <f t="shared" si="38"/>
        <v>576559.15847882116</v>
      </c>
      <c r="M106" s="107">
        <f t="shared" si="38"/>
        <v>602979.83757815987</v>
      </c>
      <c r="N106" s="107">
        <f t="shared" si="38"/>
        <v>629400.5166774987</v>
      </c>
      <c r="O106" s="107">
        <f t="shared" si="38"/>
        <v>655821.19577683718</v>
      </c>
      <c r="P106" s="107">
        <f t="shared" si="38"/>
        <v>682241.87487617601</v>
      </c>
      <c r="Q106" s="107">
        <f t="shared" si="38"/>
        <v>708662.55397551472</v>
      </c>
      <c r="R106" s="107">
        <f t="shared" si="38"/>
        <v>735083.23307485331</v>
      </c>
      <c r="S106" s="107">
        <f t="shared" si="38"/>
        <v>761503.91217419214</v>
      </c>
      <c r="T106" s="107">
        <f t="shared" si="38"/>
        <v>787924.59127353062</v>
      </c>
      <c r="U106" s="107">
        <f t="shared" si="38"/>
        <v>814345.27037286945</v>
      </c>
      <c r="V106" s="107">
        <f t="shared" si="38"/>
        <v>840765.94947220816</v>
      </c>
      <c r="W106" s="107">
        <f t="shared" si="38"/>
        <v>867186.62857154675</v>
      </c>
      <c r="X106" s="107">
        <f t="shared" si="38"/>
        <v>893607.30767088546</v>
      </c>
      <c r="Y106" s="107">
        <f t="shared" si="38"/>
        <v>920027.98677022418</v>
      </c>
      <c r="Z106" s="107">
        <f t="shared" si="38"/>
        <v>941752.88416293252</v>
      </c>
      <c r="AA106" s="107"/>
      <c r="AB106" s="107"/>
      <c r="AC106" s="107"/>
      <c r="AD106" s="107"/>
      <c r="AE106" s="107"/>
    </row>
    <row r="107" spans="1:31" ht="15.75" x14ac:dyDescent="0.25">
      <c r="A107" s="72" t="s">
        <v>57</v>
      </c>
      <c r="C107" s="110">
        <f t="shared" ref="C107:Z107" si="39">C99*$C$47*$C$48</f>
        <v>292667.91666666669</v>
      </c>
      <c r="D107" s="110">
        <f t="shared" si="39"/>
        <v>315180.83333333337</v>
      </c>
      <c r="E107" s="110">
        <f t="shared" si="39"/>
        <v>337693.75</v>
      </c>
      <c r="F107" s="110">
        <f t="shared" si="39"/>
        <v>360206.66666666674</v>
      </c>
      <c r="G107" s="110">
        <f t="shared" si="39"/>
        <v>382719.58333333337</v>
      </c>
      <c r="H107" s="110">
        <f t="shared" si="39"/>
        <v>401231.25000000006</v>
      </c>
      <c r="I107" s="110">
        <f t="shared" si="39"/>
        <v>423744.16666666669</v>
      </c>
      <c r="J107" s="110">
        <f t="shared" si="39"/>
        <v>446257.08333333337</v>
      </c>
      <c r="K107" s="110">
        <f t="shared" si="39"/>
        <v>468770</v>
      </c>
      <c r="L107" s="110">
        <f t="shared" si="39"/>
        <v>491282.91666666663</v>
      </c>
      <c r="M107" s="110">
        <f t="shared" si="39"/>
        <v>513795.83333333331</v>
      </c>
      <c r="N107" s="110">
        <f t="shared" si="39"/>
        <v>536308.75</v>
      </c>
      <c r="O107" s="110">
        <f t="shared" si="39"/>
        <v>558821.66666666651</v>
      </c>
      <c r="P107" s="110">
        <f t="shared" si="39"/>
        <v>581334.58333333326</v>
      </c>
      <c r="Q107" s="110">
        <f t="shared" si="39"/>
        <v>603847.49999999988</v>
      </c>
      <c r="R107" s="110">
        <f t="shared" si="39"/>
        <v>626360.41666666651</v>
      </c>
      <c r="S107" s="110">
        <f t="shared" si="39"/>
        <v>648873.33333333326</v>
      </c>
      <c r="T107" s="110">
        <f t="shared" si="39"/>
        <v>671386.24999999977</v>
      </c>
      <c r="U107" s="110">
        <f t="shared" si="39"/>
        <v>693899.16666666651</v>
      </c>
      <c r="V107" s="110">
        <f t="shared" si="39"/>
        <v>716412.08333333314</v>
      </c>
      <c r="W107" s="110">
        <f t="shared" si="39"/>
        <v>738924.99999999977</v>
      </c>
      <c r="X107" s="110">
        <f t="shared" si="39"/>
        <v>761437.9166666664</v>
      </c>
      <c r="Y107" s="110">
        <f t="shared" si="39"/>
        <v>783950.83333333302</v>
      </c>
      <c r="Z107" s="110">
        <f t="shared" si="39"/>
        <v>802462.49999999977</v>
      </c>
      <c r="AA107" s="110"/>
      <c r="AB107" s="110"/>
      <c r="AC107" s="110"/>
      <c r="AD107" s="110"/>
      <c r="AE107" s="110"/>
    </row>
    <row r="108" spans="1:31" x14ac:dyDescent="0.25">
      <c r="A108" s="73" t="s">
        <v>60</v>
      </c>
      <c r="C108" s="110">
        <f>C109*$C$51</f>
        <v>118359.29551874999</v>
      </c>
      <c r="D108" s="110">
        <f t="shared" ref="D108:I108" si="40">D109*$C$51</f>
        <v>127463.85671250001</v>
      </c>
      <c r="E108" s="110">
        <f t="shared" si="40"/>
        <v>136568.41790624999</v>
      </c>
      <c r="F108" s="110">
        <f t="shared" si="40"/>
        <v>145672.97910000003</v>
      </c>
      <c r="G108" s="110">
        <f t="shared" si="40"/>
        <v>154777.54029375</v>
      </c>
      <c r="H108" s="110">
        <f t="shared" si="40"/>
        <v>162263.93596875001</v>
      </c>
      <c r="I108" s="110">
        <f t="shared" si="40"/>
        <v>171368.49716249999</v>
      </c>
      <c r="J108" s="110">
        <f t="shared" ref="J108" si="41">J109*$C$51</f>
        <v>180473.05835625</v>
      </c>
      <c r="K108" s="110">
        <f t="shared" ref="K108" si="42">K109*$C$51</f>
        <v>189577.61955</v>
      </c>
      <c r="L108" s="110">
        <f t="shared" ref="L108" si="43">L109*$C$51</f>
        <v>198682.18074374998</v>
      </c>
      <c r="M108" s="110">
        <f t="shared" ref="M108" si="44">M109*$C$51</f>
        <v>207786.74193749999</v>
      </c>
      <c r="N108" s="110">
        <f t="shared" ref="N108:O108" si="45">N109*$C$51</f>
        <v>216891.30313125</v>
      </c>
      <c r="O108" s="110">
        <f t="shared" si="45"/>
        <v>225995.86432499994</v>
      </c>
      <c r="P108" s="110">
        <f t="shared" ref="P108" si="46">P109*$C$51</f>
        <v>235100.42551874992</v>
      </c>
      <c r="Q108" s="110">
        <f t="shared" ref="Q108" si="47">Q109*$C$51</f>
        <v>244204.98671249993</v>
      </c>
      <c r="R108" s="110">
        <f t="shared" ref="R108" si="48">R109*$C$51</f>
        <v>253309.54790624991</v>
      </c>
      <c r="S108" s="110">
        <f t="shared" ref="S108" si="49">S109*$C$51</f>
        <v>262414.10909999994</v>
      </c>
      <c r="T108" s="110">
        <f t="shared" ref="T108:U108" si="50">T109*$C$51</f>
        <v>271518.67029374989</v>
      </c>
      <c r="U108" s="110">
        <f t="shared" si="50"/>
        <v>280623.2314874999</v>
      </c>
      <c r="V108" s="110">
        <f t="shared" ref="V108" si="51">V109*$C$51</f>
        <v>289727.79268124991</v>
      </c>
      <c r="W108" s="110">
        <f t="shared" ref="W108" si="52">W109*$C$51</f>
        <v>298832.35387499991</v>
      </c>
      <c r="X108" s="110">
        <f t="shared" ref="X108" si="53">X109*$C$51</f>
        <v>307936.91506874986</v>
      </c>
      <c r="Y108" s="110">
        <f t="shared" ref="Y108" si="54">Y109*$C$51</f>
        <v>317041.47626249987</v>
      </c>
      <c r="Z108" s="110">
        <f t="shared" ref="Z108" si="55">Z109*$C$51</f>
        <v>324527.87193749985</v>
      </c>
      <c r="AA108" s="110"/>
      <c r="AB108" s="110"/>
      <c r="AC108" s="110"/>
      <c r="AD108" s="110"/>
      <c r="AE108" s="110"/>
    </row>
    <row r="109" spans="1:31" x14ac:dyDescent="0.25">
      <c r="A109" s="73" t="s">
        <v>180</v>
      </c>
      <c r="C109" s="107">
        <f>C104*$C$50</f>
        <v>275254.17562499997</v>
      </c>
      <c r="D109" s="107">
        <f t="shared" ref="D109:I109" si="56">D104*$C$50</f>
        <v>296427.57375000004</v>
      </c>
      <c r="E109" s="107">
        <f t="shared" si="56"/>
        <v>317600.97187499999</v>
      </c>
      <c r="F109" s="107">
        <f t="shared" si="56"/>
        <v>338774.37000000005</v>
      </c>
      <c r="G109" s="107">
        <f t="shared" si="56"/>
        <v>359947.768125</v>
      </c>
      <c r="H109" s="107">
        <f t="shared" si="56"/>
        <v>377357.99062500003</v>
      </c>
      <c r="I109" s="107">
        <f t="shared" si="56"/>
        <v>398531.38874999998</v>
      </c>
      <c r="J109" s="107">
        <f t="shared" ref="J109:Z109" si="57">J104*$C$50</f>
        <v>419704.78687499999</v>
      </c>
      <c r="K109" s="107">
        <f t="shared" si="57"/>
        <v>440878.185</v>
      </c>
      <c r="L109" s="107">
        <f t="shared" si="57"/>
        <v>462051.58312499995</v>
      </c>
      <c r="M109" s="107">
        <f t="shared" si="57"/>
        <v>483224.98124999995</v>
      </c>
      <c r="N109" s="107">
        <f t="shared" si="57"/>
        <v>504398.37937500002</v>
      </c>
      <c r="O109" s="107">
        <f t="shared" si="57"/>
        <v>525571.77749999985</v>
      </c>
      <c r="P109" s="107">
        <f t="shared" si="57"/>
        <v>546745.1756249998</v>
      </c>
      <c r="Q109" s="107">
        <f t="shared" si="57"/>
        <v>567918.57374999986</v>
      </c>
      <c r="R109" s="107">
        <f t="shared" si="57"/>
        <v>589091.97187499981</v>
      </c>
      <c r="S109" s="107">
        <f t="shared" si="57"/>
        <v>610265.36999999988</v>
      </c>
      <c r="T109" s="107">
        <f t="shared" si="57"/>
        <v>631438.76812499971</v>
      </c>
      <c r="U109" s="107">
        <f t="shared" si="57"/>
        <v>652612.16624999978</v>
      </c>
      <c r="V109" s="107">
        <f t="shared" si="57"/>
        <v>673785.56437499973</v>
      </c>
      <c r="W109" s="107">
        <f t="shared" si="57"/>
        <v>694958.96249999979</v>
      </c>
      <c r="X109" s="107">
        <f t="shared" si="57"/>
        <v>716132.36062499974</v>
      </c>
      <c r="Y109" s="107">
        <f t="shared" si="57"/>
        <v>737305.75874999969</v>
      </c>
      <c r="Z109" s="107">
        <f t="shared" si="57"/>
        <v>754715.98124999972</v>
      </c>
      <c r="AA109" s="107"/>
      <c r="AB109" s="107"/>
      <c r="AC109" s="107"/>
      <c r="AD109" s="107"/>
      <c r="AE109" s="107"/>
    </row>
    <row r="110" spans="1:31" x14ac:dyDescent="0.25">
      <c r="A110" s="73" t="s">
        <v>181</v>
      </c>
      <c r="C110" s="107">
        <v>-7851.92</v>
      </c>
      <c r="D110" s="107">
        <v>-7851.92</v>
      </c>
      <c r="E110" s="107">
        <v>-7851.92</v>
      </c>
      <c r="F110" s="107">
        <v>-7851.92</v>
      </c>
      <c r="G110" s="107">
        <v>-7851.92</v>
      </c>
      <c r="H110" s="107">
        <v>-7851.92</v>
      </c>
      <c r="I110" s="107">
        <v>-7851.92</v>
      </c>
      <c r="J110" s="107">
        <v>-7851.92</v>
      </c>
      <c r="K110" s="107">
        <v>-7851.92</v>
      </c>
      <c r="L110" s="107">
        <v>-7851.92</v>
      </c>
      <c r="M110" s="107">
        <v>-7851.92</v>
      </c>
      <c r="N110" s="107">
        <v>-7851.92</v>
      </c>
      <c r="O110" s="107">
        <v>-7851.92</v>
      </c>
      <c r="P110" s="107">
        <v>-7851.92</v>
      </c>
      <c r="Q110" s="107">
        <v>-7851.92</v>
      </c>
      <c r="R110" s="107">
        <v>-7851.92</v>
      </c>
      <c r="S110" s="107">
        <v>-7851.92</v>
      </c>
      <c r="T110" s="107">
        <v>-7851.92</v>
      </c>
      <c r="U110" s="107">
        <v>-7851.92</v>
      </c>
      <c r="V110" s="107">
        <v>-7851.92</v>
      </c>
      <c r="W110" s="107">
        <v>-7851.92</v>
      </c>
      <c r="X110" s="107">
        <v>-7851.92</v>
      </c>
      <c r="Y110" s="107">
        <v>-7851.92</v>
      </c>
      <c r="Z110" s="107">
        <v>-7851.92</v>
      </c>
      <c r="AA110" s="107"/>
      <c r="AB110" s="107"/>
      <c r="AC110" s="107"/>
      <c r="AD110" s="107"/>
      <c r="AE110" s="107"/>
    </row>
    <row r="111" spans="1:31" ht="15.75" x14ac:dyDescent="0.25">
      <c r="A111" s="72" t="s">
        <v>182</v>
      </c>
      <c r="C111" s="107">
        <f>SUM(C109:C110)</f>
        <v>267402.25562499999</v>
      </c>
      <c r="D111" s="107">
        <f t="shared" ref="D111:I111" si="58">SUM(D109:D110)</f>
        <v>288575.65375000006</v>
      </c>
      <c r="E111" s="107">
        <f t="shared" si="58"/>
        <v>309749.051875</v>
      </c>
      <c r="F111" s="107">
        <f t="shared" si="58"/>
        <v>330922.45000000007</v>
      </c>
      <c r="G111" s="107">
        <f t="shared" si="58"/>
        <v>352095.84812500002</v>
      </c>
      <c r="H111" s="107">
        <f t="shared" si="58"/>
        <v>369506.07062500005</v>
      </c>
      <c r="I111" s="107">
        <f t="shared" si="58"/>
        <v>390679.46875</v>
      </c>
      <c r="J111" s="107">
        <f t="shared" ref="J111" si="59">SUM(J109:J110)</f>
        <v>411852.86687500001</v>
      </c>
      <c r="K111" s="107">
        <f t="shared" ref="K111" si="60">SUM(K109:K110)</f>
        <v>433026.26500000001</v>
      </c>
      <c r="L111" s="107">
        <f t="shared" ref="L111" si="61">SUM(L109:L110)</f>
        <v>454199.66312499996</v>
      </c>
      <c r="M111" s="107">
        <f t="shared" ref="M111" si="62">SUM(M109:M110)</f>
        <v>475373.06124999997</v>
      </c>
      <c r="N111" s="107">
        <f t="shared" ref="N111:O111" si="63">SUM(N109:N110)</f>
        <v>496546.45937500003</v>
      </c>
      <c r="O111" s="107">
        <f t="shared" si="63"/>
        <v>517719.85749999987</v>
      </c>
      <c r="P111" s="107">
        <f t="shared" ref="P111" si="64">SUM(P109:P110)</f>
        <v>538893.25562499976</v>
      </c>
      <c r="Q111" s="107">
        <f t="shared" ref="Q111" si="65">SUM(Q109:Q110)</f>
        <v>560066.65374999982</v>
      </c>
      <c r="R111" s="107">
        <f t="shared" ref="R111" si="66">SUM(R109:R110)</f>
        <v>581240.05187499977</v>
      </c>
      <c r="S111" s="107">
        <f t="shared" ref="S111" si="67">SUM(S109:S110)</f>
        <v>602413.44999999984</v>
      </c>
      <c r="T111" s="107">
        <f t="shared" ref="T111:U111" si="68">SUM(T109:T110)</f>
        <v>623586.84812499967</v>
      </c>
      <c r="U111" s="107">
        <f t="shared" si="68"/>
        <v>644760.24624999973</v>
      </c>
      <c r="V111" s="107">
        <f t="shared" ref="V111" si="69">SUM(V109:V110)</f>
        <v>665933.64437499968</v>
      </c>
      <c r="W111" s="107">
        <f t="shared" ref="W111" si="70">SUM(W109:W110)</f>
        <v>687107.04249999975</v>
      </c>
      <c r="X111" s="107">
        <f t="shared" ref="X111" si="71">SUM(X109:X110)</f>
        <v>708280.4406249997</v>
      </c>
      <c r="Y111" s="107">
        <f t="shared" ref="Y111" si="72">SUM(Y109:Y110)</f>
        <v>729453.83874999965</v>
      </c>
      <c r="Z111" s="107">
        <f t="shared" ref="Z111" si="73">SUM(Z109:Z110)</f>
        <v>746864.06124999968</v>
      </c>
      <c r="AA111" s="107"/>
      <c r="AB111" s="107"/>
      <c r="AC111" s="107"/>
      <c r="AD111" s="107"/>
      <c r="AE111" s="107"/>
    </row>
    <row r="112" spans="1:31" x14ac:dyDescent="0.25">
      <c r="A112" s="73" t="s">
        <v>183</v>
      </c>
      <c r="C112" s="107">
        <f t="shared" ref="C112:Z112" si="74">C113*$C$63</f>
        <v>-711153.23658875399</v>
      </c>
      <c r="D112" s="107">
        <f t="shared" si="74"/>
        <v>-765857.33171096619</v>
      </c>
      <c r="E112" s="107">
        <f t="shared" si="74"/>
        <v>-820561.42683317792</v>
      </c>
      <c r="F112" s="107">
        <f t="shared" si="74"/>
        <v>-875265.52195538988</v>
      </c>
      <c r="G112" s="107">
        <f t="shared" si="74"/>
        <v>-929969.61707760161</v>
      </c>
      <c r="H112" s="107">
        <f t="shared" si="74"/>
        <v>-974951.08212710347</v>
      </c>
      <c r="I112" s="107">
        <f t="shared" si="74"/>
        <v>-1029655.1772493151</v>
      </c>
      <c r="J112" s="107">
        <f t="shared" si="74"/>
        <v>-1084359.272371527</v>
      </c>
      <c r="K112" s="107">
        <f t="shared" si="74"/>
        <v>-1139063.3674937389</v>
      </c>
      <c r="L112" s="107">
        <f t="shared" si="74"/>
        <v>-1193767.4626159505</v>
      </c>
      <c r="M112" s="107">
        <f t="shared" si="74"/>
        <v>-1248471.5577381626</v>
      </c>
      <c r="N112" s="107">
        <f t="shared" si="74"/>
        <v>-1303175.6528603744</v>
      </c>
      <c r="O112" s="107">
        <f t="shared" si="74"/>
        <v>-1357879.7479825858</v>
      </c>
      <c r="P112" s="107">
        <f t="shared" si="74"/>
        <v>-1412583.8431047976</v>
      </c>
      <c r="Q112" s="107">
        <f t="shared" si="74"/>
        <v>-1467287.93822701</v>
      </c>
      <c r="R112" s="107">
        <f t="shared" si="74"/>
        <v>-1521992.0333492216</v>
      </c>
      <c r="S112" s="107">
        <f t="shared" si="74"/>
        <v>-1576696.1284714334</v>
      </c>
      <c r="T112" s="107">
        <f t="shared" si="74"/>
        <v>-1631400.223593645</v>
      </c>
      <c r="U112" s="107">
        <f t="shared" si="74"/>
        <v>-1686104.3187158571</v>
      </c>
      <c r="V112" s="107">
        <f t="shared" si="74"/>
        <v>-1740808.4138380687</v>
      </c>
      <c r="W112" s="107">
        <f t="shared" si="74"/>
        <v>-1795512.5089602806</v>
      </c>
      <c r="X112" s="107">
        <f t="shared" si="74"/>
        <v>-1850216.6040824922</v>
      </c>
      <c r="Y112" s="107">
        <f t="shared" si="74"/>
        <v>-1904920.6992047043</v>
      </c>
      <c r="Z112" s="107">
        <f t="shared" si="74"/>
        <v>-1949902.164254206</v>
      </c>
      <c r="AA112" s="107"/>
      <c r="AB112" s="107"/>
      <c r="AC112" s="107"/>
      <c r="AD112" s="107"/>
      <c r="AE112" s="107"/>
    </row>
    <row r="113" spans="1:31" x14ac:dyDescent="0.25">
      <c r="A113" s="73" t="s">
        <v>184</v>
      </c>
      <c r="C113" s="107">
        <f t="shared" ref="C113:Z113" si="75">C104*$C$64</f>
        <v>34171.336154260818</v>
      </c>
      <c r="D113" s="107">
        <f t="shared" si="75"/>
        <v>36799.900473819354</v>
      </c>
      <c r="E113" s="107">
        <f t="shared" si="75"/>
        <v>39428.464793377876</v>
      </c>
      <c r="F113" s="107">
        <f t="shared" si="75"/>
        <v>42057.029112936405</v>
      </c>
      <c r="G113" s="107">
        <f t="shared" si="75"/>
        <v>44685.593432494927</v>
      </c>
      <c r="H113" s="107">
        <f t="shared" si="75"/>
        <v>46846.979592094904</v>
      </c>
      <c r="I113" s="107">
        <f t="shared" si="75"/>
        <v>49475.543911653418</v>
      </c>
      <c r="J113" s="107">
        <f t="shared" si="75"/>
        <v>52104.108231211947</v>
      </c>
      <c r="K113" s="107">
        <f t="shared" si="75"/>
        <v>54732.672550770469</v>
      </c>
      <c r="L113" s="107">
        <f t="shared" si="75"/>
        <v>57361.236870328983</v>
      </c>
      <c r="M113" s="107">
        <f t="shared" si="75"/>
        <v>59989.801189887519</v>
      </c>
      <c r="N113" s="107">
        <f t="shared" si="75"/>
        <v>62618.365509446048</v>
      </c>
      <c r="O113" s="107">
        <f t="shared" si="75"/>
        <v>65246.929829004548</v>
      </c>
      <c r="P113" s="107">
        <f t="shared" si="75"/>
        <v>67875.49414856307</v>
      </c>
      <c r="Q113" s="107">
        <f t="shared" si="75"/>
        <v>70504.058468121613</v>
      </c>
      <c r="R113" s="107">
        <f t="shared" si="75"/>
        <v>73132.622787680128</v>
      </c>
      <c r="S113" s="107">
        <f t="shared" si="75"/>
        <v>75761.187107238657</v>
      </c>
      <c r="T113" s="107">
        <f t="shared" si="75"/>
        <v>78389.751426797171</v>
      </c>
      <c r="U113" s="107">
        <f t="shared" si="75"/>
        <v>81018.3157463557</v>
      </c>
      <c r="V113" s="107">
        <f t="shared" si="75"/>
        <v>83646.880065914214</v>
      </c>
      <c r="W113" s="107">
        <f t="shared" si="75"/>
        <v>86275.444385472743</v>
      </c>
      <c r="X113" s="107">
        <f t="shared" si="75"/>
        <v>88904.008705031258</v>
      </c>
      <c r="Y113" s="107">
        <f t="shared" si="75"/>
        <v>91532.573024589787</v>
      </c>
      <c r="Z113" s="107">
        <f t="shared" si="75"/>
        <v>93693.959184189764</v>
      </c>
      <c r="AA113" s="107"/>
      <c r="AB113" s="107"/>
      <c r="AC113" s="107"/>
      <c r="AD113" s="107"/>
      <c r="AE113" s="107"/>
    </row>
    <row r="114" spans="1:31" x14ac:dyDescent="0.25">
      <c r="A114" s="74" t="s">
        <v>61</v>
      </c>
      <c r="C114" s="107">
        <f>C38</f>
        <v>3571016</v>
      </c>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C3A84-1C70-B64F-8A8C-C102B05FFCDD}">
  <dimension ref="A1:O57"/>
  <sheetViews>
    <sheetView topLeftCell="A27" workbookViewId="0">
      <selection activeCell="D57" sqref="D57"/>
    </sheetView>
  </sheetViews>
  <sheetFormatPr defaultColWidth="11.42578125" defaultRowHeight="15" x14ac:dyDescent="0.25"/>
  <cols>
    <col min="5" max="12" width="12.7109375" bestFit="1" customWidth="1"/>
    <col min="13" max="13" width="14.140625" bestFit="1" customWidth="1"/>
    <col min="14" max="14" width="11.140625" bestFit="1" customWidth="1"/>
    <col min="15" max="15" width="13.7109375" bestFit="1" customWidth="1"/>
  </cols>
  <sheetData>
    <row r="1" spans="1:15" x14ac:dyDescent="0.25">
      <c r="A1" s="74" t="s">
        <v>256</v>
      </c>
      <c r="B1" s="74" t="s">
        <v>236</v>
      </c>
      <c r="C1" s="74" t="s">
        <v>118</v>
      </c>
      <c r="D1" s="74" t="s">
        <v>257</v>
      </c>
      <c r="E1" s="74" t="s">
        <v>58</v>
      </c>
      <c r="F1" s="74" t="s">
        <v>178</v>
      </c>
      <c r="G1" s="74" t="s">
        <v>179</v>
      </c>
      <c r="H1" s="74" t="s">
        <v>57</v>
      </c>
      <c r="I1" s="74" t="s">
        <v>60</v>
      </c>
      <c r="J1" s="74" t="s">
        <v>180</v>
      </c>
      <c r="K1" s="74" t="s">
        <v>181</v>
      </c>
      <c r="L1" s="74" t="s">
        <v>182</v>
      </c>
      <c r="M1" s="74" t="s">
        <v>183</v>
      </c>
      <c r="N1" s="74" t="s">
        <v>184</v>
      </c>
      <c r="O1" s="74" t="s">
        <v>61</v>
      </c>
    </row>
    <row r="2" spans="1:15" x14ac:dyDescent="0.25">
      <c r="A2" s="104">
        <v>43861</v>
      </c>
      <c r="B2" s="74" t="s">
        <v>258</v>
      </c>
      <c r="C2" s="74" t="s">
        <v>259</v>
      </c>
      <c r="D2" s="74">
        <v>1986</v>
      </c>
      <c r="E2" s="74">
        <v>447.97</v>
      </c>
      <c r="F2" s="105">
        <v>1520.96</v>
      </c>
      <c r="G2" s="105">
        <v>1520.96</v>
      </c>
      <c r="H2" s="74">
        <v>447.97</v>
      </c>
      <c r="I2" s="105">
        <v>9594.93</v>
      </c>
      <c r="J2" s="105">
        <v>9594.93</v>
      </c>
      <c r="K2" s="74">
        <v>0</v>
      </c>
      <c r="L2" s="105">
        <v>9594.93</v>
      </c>
      <c r="M2" s="105">
        <v>128886.42</v>
      </c>
      <c r="N2" s="74">
        <v>0</v>
      </c>
      <c r="O2" s="105">
        <v>1343.54</v>
      </c>
    </row>
    <row r="3" spans="1:15" x14ac:dyDescent="0.25">
      <c r="A3" s="104">
        <v>43861</v>
      </c>
      <c r="B3" s="74" t="s">
        <v>258</v>
      </c>
      <c r="C3" s="74" t="s">
        <v>259</v>
      </c>
      <c r="D3" s="74">
        <v>9909</v>
      </c>
      <c r="E3" s="105">
        <v>18097.86</v>
      </c>
      <c r="F3" s="105">
        <v>18813.18</v>
      </c>
      <c r="G3" s="105">
        <v>18813.18</v>
      </c>
      <c r="H3" s="105">
        <v>18097.86</v>
      </c>
      <c r="I3" s="105">
        <v>6797.55</v>
      </c>
      <c r="J3" s="105">
        <v>6797.55</v>
      </c>
      <c r="K3" s="74">
        <v>0</v>
      </c>
      <c r="L3" s="105">
        <v>6797.55</v>
      </c>
      <c r="M3" s="105">
        <v>54635.88</v>
      </c>
      <c r="N3" s="74">
        <v>0</v>
      </c>
      <c r="O3" s="105">
        <v>4150.97</v>
      </c>
    </row>
    <row r="4" spans="1:15" x14ac:dyDescent="0.25">
      <c r="A4" s="104">
        <v>43861</v>
      </c>
      <c r="B4" s="74" t="s">
        <v>245</v>
      </c>
      <c r="C4" s="74" t="s">
        <v>259</v>
      </c>
      <c r="D4" s="74" t="s">
        <v>260</v>
      </c>
      <c r="E4" s="105">
        <v>-173769.97</v>
      </c>
      <c r="F4" s="105">
        <v>-156546.07999999999</v>
      </c>
      <c r="G4" s="105">
        <v>-155557.10999999999</v>
      </c>
      <c r="H4" s="105">
        <v>-164257.22</v>
      </c>
      <c r="I4" s="105">
        <v>236350.83</v>
      </c>
      <c r="J4" s="105">
        <v>242970.9</v>
      </c>
      <c r="K4" s="105">
        <v>-6620.07</v>
      </c>
      <c r="L4" s="105">
        <v>236350.83</v>
      </c>
      <c r="M4" s="105">
        <v>312638.61</v>
      </c>
      <c r="N4" s="105">
        <v>9512.75</v>
      </c>
      <c r="O4" s="105">
        <v>928850.64</v>
      </c>
    </row>
    <row r="5" spans="1:15" x14ac:dyDescent="0.25">
      <c r="A5" s="104">
        <v>43861</v>
      </c>
      <c r="B5" s="74" t="s">
        <v>261</v>
      </c>
      <c r="C5" s="74" t="s">
        <v>259</v>
      </c>
      <c r="D5" s="74" t="s">
        <v>262</v>
      </c>
      <c r="E5" s="105">
        <v>225930.89</v>
      </c>
      <c r="F5" s="105">
        <v>272413.49</v>
      </c>
      <c r="G5" s="105">
        <v>250467.5</v>
      </c>
      <c r="H5" s="105">
        <v>227988.89</v>
      </c>
      <c r="I5" s="105">
        <v>-706384.35</v>
      </c>
      <c r="J5" s="105">
        <v>182116.47</v>
      </c>
      <c r="K5" s="105">
        <v>-827257.2</v>
      </c>
      <c r="L5" s="105">
        <v>-645140.73</v>
      </c>
      <c r="M5" s="105">
        <v>-818577.89</v>
      </c>
      <c r="N5" s="105">
        <v>2168</v>
      </c>
      <c r="O5" s="105">
        <v>1965198.33</v>
      </c>
    </row>
    <row r="6" spans="1:15" x14ac:dyDescent="0.25">
      <c r="A6" s="104">
        <v>43890</v>
      </c>
      <c r="B6" s="74" t="s">
        <v>258</v>
      </c>
      <c r="C6" s="74" t="s">
        <v>259</v>
      </c>
      <c r="D6" s="74">
        <v>1986</v>
      </c>
      <c r="E6" s="105">
        <v>-69387.259999999995</v>
      </c>
      <c r="F6" s="105">
        <v>-68748.56</v>
      </c>
      <c r="G6" s="105">
        <v>-68748.56</v>
      </c>
      <c r="H6" s="105">
        <v>-69387.259999999995</v>
      </c>
      <c r="I6" s="105">
        <v>60800.55</v>
      </c>
      <c r="J6" s="105">
        <v>60800.55</v>
      </c>
      <c r="K6" s="74">
        <v>0</v>
      </c>
      <c r="L6" s="105">
        <v>60800.55</v>
      </c>
      <c r="M6" s="105">
        <v>-137293.07</v>
      </c>
      <c r="N6" s="74">
        <v>0</v>
      </c>
      <c r="O6" s="105">
        <v>10938.47</v>
      </c>
    </row>
    <row r="7" spans="1:15" x14ac:dyDescent="0.25">
      <c r="A7" s="104">
        <v>43890</v>
      </c>
      <c r="B7" s="74" t="s">
        <v>258</v>
      </c>
      <c r="C7" s="74" t="s">
        <v>259</v>
      </c>
      <c r="D7" s="74">
        <v>9909</v>
      </c>
      <c r="E7" s="105">
        <v>-52583.61</v>
      </c>
      <c r="F7" s="105">
        <v>-52107.62</v>
      </c>
      <c r="G7" s="105">
        <v>-52107.62</v>
      </c>
      <c r="H7" s="105">
        <v>-52583.61</v>
      </c>
      <c r="I7" s="105">
        <v>1033.8900000000001</v>
      </c>
      <c r="J7" s="105">
        <v>1033.8900000000001</v>
      </c>
      <c r="K7" s="74">
        <v>0</v>
      </c>
      <c r="L7" s="105">
        <v>1033.8900000000001</v>
      </c>
      <c r="M7" s="105">
        <v>-218219.02</v>
      </c>
      <c r="N7" s="74">
        <v>0</v>
      </c>
      <c r="O7" s="105">
        <v>10948.52</v>
      </c>
    </row>
    <row r="8" spans="1:15" x14ac:dyDescent="0.25">
      <c r="A8" s="104">
        <v>43890</v>
      </c>
      <c r="B8" s="74" t="s">
        <v>245</v>
      </c>
      <c r="C8" s="74" t="s">
        <v>259</v>
      </c>
      <c r="D8" s="74" t="s">
        <v>260</v>
      </c>
      <c r="E8" s="105">
        <v>-129595.29</v>
      </c>
      <c r="F8" s="105">
        <v>-198828.79999999999</v>
      </c>
      <c r="G8" s="105">
        <v>-197870.56</v>
      </c>
      <c r="H8" s="105">
        <v>-199999.53</v>
      </c>
      <c r="I8" s="105">
        <v>248816.35</v>
      </c>
      <c r="J8" s="105">
        <v>255467.15</v>
      </c>
      <c r="K8" s="105">
        <v>-6650.8</v>
      </c>
      <c r="L8" s="105">
        <v>248816.35</v>
      </c>
      <c r="M8" s="105">
        <v>-275172.77</v>
      </c>
      <c r="N8" s="105">
        <v>9595.76</v>
      </c>
      <c r="O8" s="105">
        <v>1165201.47</v>
      </c>
    </row>
    <row r="9" spans="1:15" x14ac:dyDescent="0.25">
      <c r="A9" s="104">
        <v>43890</v>
      </c>
      <c r="B9" s="74" t="s">
        <v>261</v>
      </c>
      <c r="C9" s="74" t="s">
        <v>259</v>
      </c>
      <c r="D9" s="74" t="s">
        <v>262</v>
      </c>
      <c r="E9" s="105">
        <v>233828.9</v>
      </c>
      <c r="F9" s="105">
        <v>267618.59000000003</v>
      </c>
      <c r="G9" s="105">
        <v>252254.83</v>
      </c>
      <c r="H9" s="105">
        <v>236366.9</v>
      </c>
      <c r="I9" s="105">
        <v>-303710.01</v>
      </c>
      <c r="J9" s="105">
        <v>-302194.36</v>
      </c>
      <c r="K9" s="105">
        <v>-1515.65</v>
      </c>
      <c r="L9" s="105">
        <v>-303710.01</v>
      </c>
      <c r="M9" s="105">
        <v>-865197.54</v>
      </c>
      <c r="N9" s="105">
        <v>2538</v>
      </c>
      <c r="O9" s="105">
        <v>1258813.98</v>
      </c>
    </row>
    <row r="10" spans="1:15" x14ac:dyDescent="0.25">
      <c r="A10" s="104">
        <v>43921</v>
      </c>
      <c r="B10" s="74" t="s">
        <v>258</v>
      </c>
      <c r="C10" s="74" t="s">
        <v>259</v>
      </c>
      <c r="D10" s="74">
        <v>1986</v>
      </c>
      <c r="E10" s="105">
        <v>-147323.01999999999</v>
      </c>
      <c r="F10" s="105">
        <v>-146909.01</v>
      </c>
      <c r="G10" s="105">
        <v>-146909.01</v>
      </c>
      <c r="H10" s="105">
        <v>-147323.01999999999</v>
      </c>
      <c r="I10" s="105">
        <v>-70016.149999999994</v>
      </c>
      <c r="J10" s="105">
        <v>-70016.149999999994</v>
      </c>
      <c r="K10" s="74">
        <v>0</v>
      </c>
      <c r="L10" s="105">
        <v>-70016.149999999994</v>
      </c>
      <c r="M10" s="105">
        <v>21372.63</v>
      </c>
      <c r="N10" s="74">
        <v>0</v>
      </c>
      <c r="O10" s="105">
        <v>71739.02</v>
      </c>
    </row>
    <row r="11" spans="1:15" x14ac:dyDescent="0.25">
      <c r="A11" s="104">
        <v>43921</v>
      </c>
      <c r="B11" s="74" t="s">
        <v>258</v>
      </c>
      <c r="C11" s="74" t="s">
        <v>259</v>
      </c>
      <c r="D11" s="74">
        <v>9909</v>
      </c>
      <c r="E11" s="105">
        <v>-104500.75</v>
      </c>
      <c r="F11" s="105">
        <v>-103700.93</v>
      </c>
      <c r="G11" s="105">
        <v>-103700.93</v>
      </c>
      <c r="H11" s="105">
        <v>-104500.75</v>
      </c>
      <c r="I11" s="105">
        <v>254995.05</v>
      </c>
      <c r="J11" s="105">
        <v>254995.05</v>
      </c>
      <c r="K11" s="74">
        <v>0</v>
      </c>
      <c r="L11" s="105">
        <v>254995.05</v>
      </c>
      <c r="M11" s="105">
        <v>75833.69</v>
      </c>
      <c r="N11" s="74">
        <v>0</v>
      </c>
      <c r="O11" s="105">
        <v>11982.41</v>
      </c>
    </row>
    <row r="12" spans="1:15" x14ac:dyDescent="0.25">
      <c r="A12" s="104">
        <v>43921</v>
      </c>
      <c r="B12" s="74" t="s">
        <v>245</v>
      </c>
      <c r="C12" s="74" t="s">
        <v>259</v>
      </c>
      <c r="D12" s="74" t="s">
        <v>260</v>
      </c>
      <c r="E12" s="105">
        <v>-59965.08</v>
      </c>
      <c r="F12" s="105">
        <v>56290.15</v>
      </c>
      <c r="G12" s="105">
        <v>57157.69</v>
      </c>
      <c r="H12" s="105">
        <v>50651.33</v>
      </c>
      <c r="I12" s="105">
        <v>376434.89</v>
      </c>
      <c r="J12" s="105">
        <v>83176.39</v>
      </c>
      <c r="K12" s="105">
        <v>293258.5</v>
      </c>
      <c r="L12" s="105">
        <v>376434.89</v>
      </c>
      <c r="M12" s="105">
        <v>-267430.96999999997</v>
      </c>
      <c r="N12" s="105">
        <v>9313.75</v>
      </c>
      <c r="O12" s="105">
        <v>1414017.82</v>
      </c>
    </row>
    <row r="13" spans="1:15" x14ac:dyDescent="0.25">
      <c r="A13" s="104">
        <v>43921</v>
      </c>
      <c r="B13" s="74" t="s">
        <v>261</v>
      </c>
      <c r="C13" s="74" t="s">
        <v>259</v>
      </c>
      <c r="D13" s="74" t="s">
        <v>262</v>
      </c>
      <c r="E13" s="105">
        <v>302893.63</v>
      </c>
      <c r="F13" s="105">
        <v>331196.21999999997</v>
      </c>
      <c r="G13" s="105">
        <v>318391.12</v>
      </c>
      <c r="H13" s="105">
        <v>305103.63</v>
      </c>
      <c r="I13" s="105">
        <v>-545578.16</v>
      </c>
      <c r="J13" s="105">
        <v>-544020.73</v>
      </c>
      <c r="K13" s="105">
        <v>-1557.43</v>
      </c>
      <c r="L13" s="105">
        <v>-545578.16</v>
      </c>
      <c r="M13" s="105">
        <v>1479404.59</v>
      </c>
      <c r="N13" s="105">
        <v>2210</v>
      </c>
      <c r="O13" s="105">
        <v>955103.97</v>
      </c>
    </row>
    <row r="14" spans="1:15" x14ac:dyDescent="0.25">
      <c r="A14" s="104">
        <v>43951</v>
      </c>
      <c r="B14" s="74" t="s">
        <v>258</v>
      </c>
      <c r="C14" s="74" t="s">
        <v>259</v>
      </c>
      <c r="D14" s="74">
        <v>1986</v>
      </c>
      <c r="E14" s="105">
        <v>-126584.14</v>
      </c>
      <c r="F14" s="105">
        <v>-125733.15</v>
      </c>
      <c r="G14" s="105">
        <v>-125733.15</v>
      </c>
      <c r="H14" s="105">
        <v>-126584.14</v>
      </c>
      <c r="I14" s="105">
        <v>2187.13</v>
      </c>
      <c r="J14" s="105">
        <v>2187.13</v>
      </c>
      <c r="K14" s="74">
        <v>0</v>
      </c>
      <c r="L14" s="105">
        <v>2187.13</v>
      </c>
      <c r="M14" s="105">
        <v>86353.05</v>
      </c>
      <c r="N14" s="74">
        <v>0</v>
      </c>
      <c r="O14" s="105">
        <v>1722.87</v>
      </c>
    </row>
    <row r="15" spans="1:15" x14ac:dyDescent="0.25">
      <c r="A15" s="104">
        <v>43951</v>
      </c>
      <c r="B15" s="74" t="s">
        <v>258</v>
      </c>
      <c r="C15" s="74" t="s">
        <v>259</v>
      </c>
      <c r="D15" s="74">
        <v>9909</v>
      </c>
      <c r="E15" s="105">
        <v>-189957.6</v>
      </c>
      <c r="F15" s="105">
        <v>-189752.48</v>
      </c>
      <c r="G15" s="105">
        <v>-189752.48</v>
      </c>
      <c r="H15" s="105">
        <v>-189957.6</v>
      </c>
      <c r="I15" s="105">
        <v>-262947.90999999997</v>
      </c>
      <c r="J15" s="105">
        <v>-262947.90999999997</v>
      </c>
      <c r="K15" s="74">
        <v>0</v>
      </c>
      <c r="L15" s="105">
        <v>-262947.90999999997</v>
      </c>
      <c r="M15" s="105">
        <v>254542.76</v>
      </c>
      <c r="N15" s="74">
        <v>0</v>
      </c>
      <c r="O15" s="105">
        <v>266977.46000000002</v>
      </c>
    </row>
    <row r="16" spans="1:15" x14ac:dyDescent="0.25">
      <c r="A16" s="104">
        <v>43951</v>
      </c>
      <c r="B16" s="74" t="s">
        <v>245</v>
      </c>
      <c r="C16" s="74" t="s">
        <v>259</v>
      </c>
      <c r="D16" s="74" t="s">
        <v>260</v>
      </c>
      <c r="E16" s="105">
        <v>-199876.83</v>
      </c>
      <c r="F16" s="105">
        <v>-181799.76</v>
      </c>
      <c r="G16" s="105">
        <v>-179266.91</v>
      </c>
      <c r="H16" s="105">
        <v>-190308.07</v>
      </c>
      <c r="I16" s="105">
        <v>368400.44</v>
      </c>
      <c r="J16" s="105">
        <v>365311.87</v>
      </c>
      <c r="K16" s="105">
        <v>-4931.43</v>
      </c>
      <c r="L16" s="105">
        <v>360380.44</v>
      </c>
      <c r="M16" s="105">
        <v>-209389.47</v>
      </c>
      <c r="N16" s="105">
        <v>9568.76</v>
      </c>
      <c r="O16" s="105">
        <v>1790452.71</v>
      </c>
    </row>
    <row r="17" spans="1:15" x14ac:dyDescent="0.25">
      <c r="A17" s="104">
        <v>43951</v>
      </c>
      <c r="B17" s="74" t="s">
        <v>261</v>
      </c>
      <c r="C17" s="74" t="s">
        <v>259</v>
      </c>
      <c r="D17" s="74" t="s">
        <v>262</v>
      </c>
      <c r="E17" s="105">
        <v>295081.73</v>
      </c>
      <c r="F17" s="105">
        <v>332983.92</v>
      </c>
      <c r="G17" s="105">
        <v>315555.3</v>
      </c>
      <c r="H17" s="105">
        <v>297619.73</v>
      </c>
      <c r="I17" s="105">
        <v>57003.9</v>
      </c>
      <c r="J17" s="105">
        <v>104646.88</v>
      </c>
      <c r="K17" s="105">
        <v>-47642.98</v>
      </c>
      <c r="L17" s="105">
        <v>57003.9</v>
      </c>
      <c r="M17" s="105">
        <v>146527.57999999999</v>
      </c>
      <c r="N17" s="105">
        <v>2538</v>
      </c>
      <c r="O17" s="105">
        <v>409525.81</v>
      </c>
    </row>
    <row r="18" spans="1:15" x14ac:dyDescent="0.25">
      <c r="A18" s="104">
        <v>43982</v>
      </c>
      <c r="B18" s="74" t="s">
        <v>258</v>
      </c>
      <c r="C18" s="74" t="s">
        <v>259</v>
      </c>
      <c r="D18" s="74">
        <v>1986</v>
      </c>
      <c r="E18" s="105">
        <v>193282.54</v>
      </c>
      <c r="F18" s="105">
        <v>193282.54</v>
      </c>
      <c r="G18" s="105">
        <v>193282.54</v>
      </c>
      <c r="H18" s="105">
        <v>193282.54</v>
      </c>
      <c r="I18" s="105">
        <v>393078.31</v>
      </c>
      <c r="J18" s="105">
        <v>393078.31</v>
      </c>
      <c r="K18" s="74">
        <v>0</v>
      </c>
      <c r="L18" s="105">
        <v>393078.31</v>
      </c>
      <c r="M18" s="74">
        <v>0</v>
      </c>
      <c r="N18" s="74">
        <v>0</v>
      </c>
      <c r="O18" s="105">
        <v>3910</v>
      </c>
    </row>
    <row r="19" spans="1:15" x14ac:dyDescent="0.25">
      <c r="A19" s="104">
        <v>43982</v>
      </c>
      <c r="B19" s="74" t="s">
        <v>258</v>
      </c>
      <c r="C19" s="74" t="s">
        <v>259</v>
      </c>
      <c r="D19" s="74">
        <v>9909</v>
      </c>
      <c r="E19" s="105">
        <v>-201716.35</v>
      </c>
      <c r="F19" s="105">
        <v>-201716.35</v>
      </c>
      <c r="G19" s="105">
        <v>-201716.35</v>
      </c>
      <c r="H19" s="105">
        <v>-201716.35</v>
      </c>
      <c r="I19" s="105">
        <v>23177.11</v>
      </c>
      <c r="J19" s="105">
        <v>23177.11</v>
      </c>
      <c r="K19" s="74">
        <v>0</v>
      </c>
      <c r="L19" s="105">
        <v>23177.11</v>
      </c>
      <c r="M19" s="105">
        <v>24944.52</v>
      </c>
      <c r="N19" s="74">
        <v>0</v>
      </c>
      <c r="O19" s="105">
        <v>4029.55</v>
      </c>
    </row>
    <row r="20" spans="1:15" x14ac:dyDescent="0.25">
      <c r="A20" s="104">
        <v>43982</v>
      </c>
      <c r="B20" s="74" t="s">
        <v>245</v>
      </c>
      <c r="C20" s="74" t="s">
        <v>259</v>
      </c>
      <c r="D20" s="74" t="s">
        <v>260</v>
      </c>
      <c r="E20" s="105">
        <v>-352788.33</v>
      </c>
      <c r="F20" s="105">
        <v>-336236.89</v>
      </c>
      <c r="G20" s="105">
        <v>-335660.9</v>
      </c>
      <c r="H20" s="105">
        <v>-336307.33</v>
      </c>
      <c r="I20" s="105">
        <v>61466.29</v>
      </c>
      <c r="J20" s="105">
        <v>67279.39</v>
      </c>
      <c r="K20" s="105">
        <v>-5813.1</v>
      </c>
      <c r="L20" s="105">
        <v>61466.29</v>
      </c>
      <c r="M20" s="105">
        <v>-404703.67</v>
      </c>
      <c r="N20" s="105">
        <v>16481</v>
      </c>
      <c r="O20" s="105">
        <v>2150853.15</v>
      </c>
    </row>
    <row r="21" spans="1:15" x14ac:dyDescent="0.25">
      <c r="A21" s="104">
        <v>43982</v>
      </c>
      <c r="B21" s="74" t="s">
        <v>261</v>
      </c>
      <c r="C21" s="74" t="s">
        <v>259</v>
      </c>
      <c r="D21" s="74" t="s">
        <v>262</v>
      </c>
      <c r="E21" s="105">
        <v>1062116.42</v>
      </c>
      <c r="F21" s="105">
        <v>1066455.74</v>
      </c>
      <c r="G21" s="105">
        <v>1064501.58</v>
      </c>
      <c r="H21" s="105">
        <v>1062546.42</v>
      </c>
      <c r="I21" s="105">
        <v>14851.88</v>
      </c>
      <c r="J21" s="105">
        <v>16890.7</v>
      </c>
      <c r="K21" s="105">
        <v>-2038.82</v>
      </c>
      <c r="L21" s="105">
        <v>14851.88</v>
      </c>
      <c r="M21" s="105">
        <v>-728494</v>
      </c>
      <c r="N21" s="74">
        <v>430</v>
      </c>
      <c r="O21" s="105">
        <v>466529.71</v>
      </c>
    </row>
    <row r="24" spans="1:15" x14ac:dyDescent="0.25">
      <c r="A24" s="106">
        <v>43831</v>
      </c>
      <c r="E24" s="60">
        <f>SUM(E2:E5)</f>
        <v>70706.75</v>
      </c>
      <c r="F24" s="60">
        <f t="shared" ref="F24:O24" si="0">SUM(F2:F5)</f>
        <v>136201.54999999999</v>
      </c>
      <c r="G24" s="60">
        <f t="shared" si="0"/>
        <v>115244.53000000003</v>
      </c>
      <c r="H24" s="60">
        <f t="shared" si="0"/>
        <v>82277.5</v>
      </c>
      <c r="I24" s="60">
        <f t="shared" si="0"/>
        <v>-453641.04</v>
      </c>
      <c r="J24" s="60">
        <f t="shared" si="0"/>
        <v>441479.85</v>
      </c>
      <c r="K24" s="60">
        <f t="shared" si="0"/>
        <v>-833877.2699999999</v>
      </c>
      <c r="L24" s="60">
        <f t="shared" si="0"/>
        <v>-392397.42</v>
      </c>
      <c r="M24" s="60">
        <f t="shared" si="0"/>
        <v>-322416.98000000004</v>
      </c>
      <c r="N24" s="60">
        <f t="shared" si="0"/>
        <v>11680.75</v>
      </c>
      <c r="O24" s="60">
        <f t="shared" si="0"/>
        <v>2899543.48</v>
      </c>
    </row>
    <row r="25" spans="1:15" x14ac:dyDescent="0.25">
      <c r="A25" s="106">
        <v>43862</v>
      </c>
      <c r="E25" s="60">
        <f>SUM(E6:E9)</f>
        <v>-17737.25999999998</v>
      </c>
      <c r="F25" s="60">
        <f t="shared" ref="F25:O25" si="1">SUM(F6:F9)</f>
        <v>-52066.389999999956</v>
      </c>
      <c r="G25" s="60">
        <f t="shared" si="1"/>
        <v>-66471.91</v>
      </c>
      <c r="H25" s="60">
        <f t="shared" si="1"/>
        <v>-85603.500000000029</v>
      </c>
      <c r="I25" s="60">
        <f t="shared" si="1"/>
        <v>6940.7800000000279</v>
      </c>
      <c r="J25" s="60">
        <f t="shared" si="1"/>
        <v>15107.229999999981</v>
      </c>
      <c r="K25" s="60">
        <f t="shared" si="1"/>
        <v>-8166.4500000000007</v>
      </c>
      <c r="L25" s="60">
        <f t="shared" si="1"/>
        <v>6940.7800000000279</v>
      </c>
      <c r="M25" s="60">
        <f t="shared" si="1"/>
        <v>-1495882.4</v>
      </c>
      <c r="N25" s="60">
        <f t="shared" si="1"/>
        <v>12133.76</v>
      </c>
      <c r="O25" s="60">
        <f t="shared" si="1"/>
        <v>2445902.44</v>
      </c>
    </row>
    <row r="26" spans="1:15" x14ac:dyDescent="0.25">
      <c r="A26" s="106">
        <v>43891</v>
      </c>
      <c r="E26" s="60">
        <f>SUM(E10:E13)</f>
        <v>-8895.2199999999721</v>
      </c>
      <c r="F26" s="60">
        <f t="shared" ref="F26:O26" si="2">SUM(F10:F13)</f>
        <v>136876.42999999996</v>
      </c>
      <c r="G26" s="60">
        <f t="shared" si="2"/>
        <v>124938.87</v>
      </c>
      <c r="H26" s="60">
        <f t="shared" si="2"/>
        <v>103931.19</v>
      </c>
      <c r="I26" s="60">
        <f t="shared" si="2"/>
        <v>15835.630000000005</v>
      </c>
      <c r="J26" s="60">
        <f t="shared" si="2"/>
        <v>-275865.44</v>
      </c>
      <c r="K26" s="60">
        <f t="shared" si="2"/>
        <v>291701.07</v>
      </c>
      <c r="L26" s="60">
        <f t="shared" si="2"/>
        <v>15835.630000000005</v>
      </c>
      <c r="M26" s="60">
        <f t="shared" si="2"/>
        <v>1309179.9400000002</v>
      </c>
      <c r="N26" s="60">
        <f t="shared" si="2"/>
        <v>11523.75</v>
      </c>
      <c r="O26" s="60">
        <f t="shared" si="2"/>
        <v>2452843.2199999997</v>
      </c>
    </row>
    <row r="27" spans="1:15" x14ac:dyDescent="0.25">
      <c r="A27" s="106">
        <v>43922</v>
      </c>
      <c r="E27" s="60">
        <f>SUM(E14:E17)</f>
        <v>-221336.83999999997</v>
      </c>
      <c r="F27" s="60">
        <f t="shared" ref="F27:O27" si="3">SUM(F14:F17)</f>
        <v>-164301.47000000003</v>
      </c>
      <c r="G27" s="60">
        <f t="shared" si="3"/>
        <v>-179197.24000000005</v>
      </c>
      <c r="H27" s="60">
        <f t="shared" si="3"/>
        <v>-209230.08000000002</v>
      </c>
      <c r="I27" s="60">
        <f t="shared" si="3"/>
        <v>164643.56000000003</v>
      </c>
      <c r="J27" s="60">
        <f t="shared" si="3"/>
        <v>209197.97000000003</v>
      </c>
      <c r="K27" s="60">
        <f t="shared" si="3"/>
        <v>-52574.41</v>
      </c>
      <c r="L27" s="60">
        <f t="shared" si="3"/>
        <v>156623.56000000003</v>
      </c>
      <c r="M27" s="60">
        <f t="shared" si="3"/>
        <v>278033.91999999998</v>
      </c>
      <c r="N27" s="60">
        <f t="shared" si="3"/>
        <v>12106.76</v>
      </c>
      <c r="O27" s="60">
        <f t="shared" si="3"/>
        <v>2468678.85</v>
      </c>
    </row>
    <row r="28" spans="1:15" x14ac:dyDescent="0.25">
      <c r="A28" s="106">
        <v>43952</v>
      </c>
      <c r="E28" s="60">
        <f>SUM(E18:E21)</f>
        <v>700894.27999999991</v>
      </c>
      <c r="F28" s="60">
        <f t="shared" ref="F28:O28" si="4">SUM(F18:F21)</f>
        <v>721785.04</v>
      </c>
      <c r="G28" s="60">
        <f t="shared" si="4"/>
        <v>720406.87000000011</v>
      </c>
      <c r="H28" s="60">
        <f t="shared" si="4"/>
        <v>717805.27999999991</v>
      </c>
      <c r="I28" s="60">
        <f t="shared" si="4"/>
        <v>492573.58999999997</v>
      </c>
      <c r="J28" s="60">
        <f t="shared" si="4"/>
        <v>500425.51</v>
      </c>
      <c r="K28" s="60">
        <f t="shared" si="4"/>
        <v>-7851.92</v>
      </c>
      <c r="L28" s="60">
        <f t="shared" si="4"/>
        <v>492573.58999999997</v>
      </c>
      <c r="M28" s="60">
        <f t="shared" si="4"/>
        <v>-1108253.1499999999</v>
      </c>
      <c r="N28" s="60">
        <f t="shared" si="4"/>
        <v>16911</v>
      </c>
      <c r="O28" s="60">
        <f t="shared" si="4"/>
        <v>2625322.4099999997</v>
      </c>
    </row>
    <row r="31" spans="1:15" x14ac:dyDescent="0.25">
      <c r="D31" t="s">
        <v>263</v>
      </c>
      <c r="E31" t="s">
        <v>264</v>
      </c>
      <c r="F31" t="s">
        <v>265</v>
      </c>
      <c r="G31" t="s">
        <v>266</v>
      </c>
      <c r="H31" t="s">
        <v>267</v>
      </c>
      <c r="I31" t="s">
        <v>276</v>
      </c>
    </row>
    <row r="32" spans="1:15" ht="15.75" x14ac:dyDescent="0.25">
      <c r="A32" s="72" t="s">
        <v>58</v>
      </c>
      <c r="D32" s="60">
        <v>70706.75</v>
      </c>
      <c r="E32">
        <v>-17737.25999999998</v>
      </c>
      <c r="F32">
        <v>-8895.2199999999721</v>
      </c>
      <c r="G32">
        <v>-221336.83999999997</v>
      </c>
      <c r="H32">
        <v>700894.27999999991</v>
      </c>
      <c r="I32" s="62">
        <f>SUM(D32:H32)</f>
        <v>523631.70999999996</v>
      </c>
    </row>
    <row r="33" spans="1:9" ht="15.75" x14ac:dyDescent="0.25">
      <c r="A33" s="72" t="s">
        <v>178</v>
      </c>
      <c r="D33" s="60">
        <v>136201.54999999999</v>
      </c>
      <c r="E33">
        <v>-52066.389999999956</v>
      </c>
      <c r="F33">
        <v>136876.42999999996</v>
      </c>
      <c r="G33">
        <v>-164301.47000000003</v>
      </c>
      <c r="H33">
        <v>721785.04</v>
      </c>
      <c r="I33" s="62">
        <f t="shared" ref="I33:I41" si="5">SUM(D33:H33)</f>
        <v>778495.16</v>
      </c>
    </row>
    <row r="34" spans="1:9" ht="15.75" x14ac:dyDescent="0.25">
      <c r="A34" s="72" t="s">
        <v>179</v>
      </c>
      <c r="D34" s="60">
        <v>115244.53000000003</v>
      </c>
      <c r="E34">
        <v>-66471.91</v>
      </c>
      <c r="F34">
        <v>124938.87</v>
      </c>
      <c r="G34">
        <v>-179197.24000000005</v>
      </c>
      <c r="H34">
        <v>720406.87000000011</v>
      </c>
      <c r="I34" s="62">
        <f t="shared" si="5"/>
        <v>714921.12000000011</v>
      </c>
    </row>
    <row r="35" spans="1:9" ht="15.75" x14ac:dyDescent="0.25">
      <c r="A35" s="72" t="s">
        <v>57</v>
      </c>
      <c r="D35" s="60">
        <v>82277.5</v>
      </c>
      <c r="E35">
        <v>-85603.500000000029</v>
      </c>
      <c r="F35">
        <v>103931.19</v>
      </c>
      <c r="G35">
        <v>-209230.08000000002</v>
      </c>
      <c r="H35">
        <v>717805.27999999991</v>
      </c>
      <c r="I35" s="62">
        <f t="shared" si="5"/>
        <v>609180.3899999999</v>
      </c>
    </row>
    <row r="36" spans="1:9" x14ac:dyDescent="0.25">
      <c r="A36" s="73" t="s">
        <v>60</v>
      </c>
      <c r="D36" s="60">
        <v>-453641.04</v>
      </c>
      <c r="E36">
        <v>6940.7800000000279</v>
      </c>
      <c r="F36">
        <v>15835.630000000005</v>
      </c>
      <c r="G36">
        <v>164643.56000000003</v>
      </c>
      <c r="H36">
        <v>492573.58999999997</v>
      </c>
      <c r="I36" s="62">
        <f t="shared" si="5"/>
        <v>226352.52000000002</v>
      </c>
    </row>
    <row r="37" spans="1:9" x14ac:dyDescent="0.25">
      <c r="A37" s="73" t="s">
        <v>180</v>
      </c>
      <c r="D37" s="60">
        <v>441479.85</v>
      </c>
      <c r="E37">
        <v>15107.229999999981</v>
      </c>
      <c r="F37">
        <v>-275865.44</v>
      </c>
      <c r="G37">
        <v>209197.97000000003</v>
      </c>
      <c r="H37">
        <v>500425.51</v>
      </c>
      <c r="I37" s="62">
        <f t="shared" si="5"/>
        <v>890345.12</v>
      </c>
    </row>
    <row r="38" spans="1:9" x14ac:dyDescent="0.25">
      <c r="A38" s="73" t="s">
        <v>181</v>
      </c>
      <c r="D38" s="60">
        <v>-833877.2699999999</v>
      </c>
      <c r="E38">
        <v>-8166.4500000000007</v>
      </c>
      <c r="F38">
        <v>291701.07</v>
      </c>
      <c r="G38">
        <v>-52574.41</v>
      </c>
      <c r="H38">
        <v>-7851.92</v>
      </c>
      <c r="I38" s="62">
        <f t="shared" si="5"/>
        <v>-610768.98</v>
      </c>
    </row>
    <row r="39" spans="1:9" ht="15.75" x14ac:dyDescent="0.25">
      <c r="A39" s="72" t="s">
        <v>182</v>
      </c>
      <c r="D39" s="60">
        <v>-392397.42</v>
      </c>
      <c r="E39">
        <v>6940.7800000000279</v>
      </c>
      <c r="F39">
        <v>15835.630000000005</v>
      </c>
      <c r="G39">
        <v>156623.56000000003</v>
      </c>
      <c r="H39">
        <v>492573.58999999997</v>
      </c>
      <c r="I39" s="62">
        <f t="shared" si="5"/>
        <v>279576.14</v>
      </c>
    </row>
    <row r="40" spans="1:9" x14ac:dyDescent="0.25">
      <c r="A40" s="73" t="s">
        <v>183</v>
      </c>
      <c r="D40" s="60">
        <v>-322416.98000000004</v>
      </c>
      <c r="E40">
        <v>-1495882.4</v>
      </c>
      <c r="F40">
        <v>1309179.9400000002</v>
      </c>
      <c r="G40">
        <v>278033.91999999998</v>
      </c>
      <c r="H40">
        <v>-1108253.1499999999</v>
      </c>
      <c r="I40" s="62">
        <f t="shared" si="5"/>
        <v>-1339338.6699999997</v>
      </c>
    </row>
    <row r="41" spans="1:9" x14ac:dyDescent="0.25">
      <c r="A41" s="73" t="s">
        <v>184</v>
      </c>
      <c r="D41" s="60">
        <v>11680.75</v>
      </c>
      <c r="E41">
        <v>12133.76</v>
      </c>
      <c r="F41">
        <v>11523.75</v>
      </c>
      <c r="G41">
        <v>12106.76</v>
      </c>
      <c r="H41">
        <v>16911</v>
      </c>
      <c r="I41" s="62">
        <f t="shared" si="5"/>
        <v>64356.020000000004</v>
      </c>
    </row>
    <row r="42" spans="1:9" x14ac:dyDescent="0.25">
      <c r="A42" s="74" t="s">
        <v>61</v>
      </c>
      <c r="D42" s="60">
        <v>2899543.48</v>
      </c>
      <c r="E42">
        <v>2445902.44</v>
      </c>
      <c r="F42">
        <v>2452843.2199999997</v>
      </c>
      <c r="G42">
        <v>2468678.85</v>
      </c>
      <c r="H42">
        <v>2625322.4099999997</v>
      </c>
    </row>
    <row r="46" spans="1:9" x14ac:dyDescent="0.25">
      <c r="D46" t="s">
        <v>263</v>
      </c>
      <c r="E46" t="s">
        <v>264</v>
      </c>
      <c r="F46" t="s">
        <v>265</v>
      </c>
      <c r="G46" t="s">
        <v>266</v>
      </c>
      <c r="H46" t="s">
        <v>267</v>
      </c>
    </row>
    <row r="47" spans="1:9" ht="15.75" x14ac:dyDescent="0.25">
      <c r="A47" s="72" t="s">
        <v>268</v>
      </c>
      <c r="D47">
        <f>D32/D33</f>
        <v>0.5191332257232022</v>
      </c>
      <c r="E47">
        <f t="shared" ref="E47:H47" si="6">E32/E33</f>
        <v>0.3406662148076714</v>
      </c>
      <c r="F47">
        <f t="shared" si="6"/>
        <v>-6.498722972245824E-2</v>
      </c>
      <c r="G47">
        <f t="shared" si="6"/>
        <v>1.3471385252974299</v>
      </c>
      <c r="H47">
        <f t="shared" si="6"/>
        <v>0.9710568121500549</v>
      </c>
      <c r="I47" s="108">
        <f t="shared" ref="I47" si="7">I32/I33</f>
        <v>0.67262037955380471</v>
      </c>
    </row>
    <row r="48" spans="1:9" ht="15.75" x14ac:dyDescent="0.25">
      <c r="A48" s="72" t="s">
        <v>269</v>
      </c>
      <c r="D48">
        <f>D33/D34</f>
        <v>1.1818482838187632</v>
      </c>
      <c r="E48">
        <f t="shared" ref="E48:H48" si="8">E33/E34</f>
        <v>0.78328409699676083</v>
      </c>
      <c r="F48">
        <f t="shared" si="8"/>
        <v>1.0955472064058205</v>
      </c>
      <c r="G48">
        <f t="shared" si="8"/>
        <v>0.9168750032087547</v>
      </c>
      <c r="H48">
        <f t="shared" si="8"/>
        <v>1.001913043944181</v>
      </c>
      <c r="I48" s="108">
        <f t="shared" ref="I48" si="9">I33/I34</f>
        <v>1.0889245515645138</v>
      </c>
    </row>
    <row r="49" spans="1:9" ht="15.75" x14ac:dyDescent="0.25">
      <c r="A49" s="72" t="s">
        <v>270</v>
      </c>
      <c r="D49">
        <f>D34/D35</f>
        <v>1.4006809881194742</v>
      </c>
      <c r="E49">
        <f t="shared" ref="E49:H49" si="10">E34/E35</f>
        <v>0.77650925487859701</v>
      </c>
      <c r="F49">
        <f t="shared" si="10"/>
        <v>1.2021306597182231</v>
      </c>
      <c r="G49">
        <f t="shared" si="10"/>
        <v>0.85646021833954289</v>
      </c>
      <c r="H49">
        <f t="shared" si="10"/>
        <v>1.0036243673214555</v>
      </c>
      <c r="I49" s="108">
        <f t="shared" ref="I49" si="11">I34/I35</f>
        <v>1.1735786833190744</v>
      </c>
    </row>
    <row r="50" spans="1:9" ht="15.75" x14ac:dyDescent="0.25">
      <c r="A50" s="72" t="s">
        <v>57</v>
      </c>
      <c r="I50" s="108"/>
    </row>
    <row r="51" spans="1:9" x14ac:dyDescent="0.25">
      <c r="A51" s="73" t="s">
        <v>274</v>
      </c>
      <c r="D51">
        <f>D36/D39</f>
        <v>1.1560754910162254</v>
      </c>
      <c r="E51">
        <f t="shared" ref="E51:H51" si="12">E36/E39</f>
        <v>1</v>
      </c>
      <c r="F51">
        <f t="shared" si="12"/>
        <v>1</v>
      </c>
      <c r="G51">
        <f t="shared" si="12"/>
        <v>1.0512055785221586</v>
      </c>
      <c r="H51">
        <f t="shared" si="12"/>
        <v>1</v>
      </c>
      <c r="I51" s="108">
        <f t="shared" ref="I51" si="13">I36/I39</f>
        <v>0.80962745962513116</v>
      </c>
    </row>
    <row r="52" spans="1:9" x14ac:dyDescent="0.25">
      <c r="A52" s="73" t="s">
        <v>271</v>
      </c>
      <c r="D52">
        <f>D37/D40</f>
        <v>-1.3692822567843663</v>
      </c>
      <c r="E52">
        <f t="shared" ref="E52:H52" si="14">E37/E40</f>
        <v>-1.0099209670492802E-2</v>
      </c>
      <c r="F52">
        <f t="shared" si="14"/>
        <v>-0.21071621369328342</v>
      </c>
      <c r="G52">
        <f t="shared" si="14"/>
        <v>0.75241887752400871</v>
      </c>
      <c r="H52">
        <f t="shared" si="14"/>
        <v>-0.45154440571632937</v>
      </c>
      <c r="I52" s="108">
        <f t="shared" ref="I52" si="15">I37/I40</f>
        <v>-0.66476473795832403</v>
      </c>
    </row>
    <row r="53" spans="1:9" x14ac:dyDescent="0.25">
      <c r="A53" s="73" t="s">
        <v>181</v>
      </c>
      <c r="I53" s="108"/>
    </row>
    <row r="54" spans="1:9" ht="15.75" x14ac:dyDescent="0.25">
      <c r="A54" s="72" t="s">
        <v>275</v>
      </c>
      <c r="D54">
        <f>D39/D37</f>
        <v>-0.88882294401431916</v>
      </c>
      <c r="E54">
        <f t="shared" ref="E54:H54" si="16">E39/E37</f>
        <v>0.4594343238303803</v>
      </c>
      <c r="F54">
        <f t="shared" si="16"/>
        <v>-5.740345727975206E-2</v>
      </c>
      <c r="G54">
        <f t="shared" si="16"/>
        <v>0.74868585005867894</v>
      </c>
      <c r="H54">
        <f t="shared" si="16"/>
        <v>0.98430951291831614</v>
      </c>
      <c r="I54" s="108">
        <f t="shared" ref="I54" si="17">I39/I37</f>
        <v>0.31400872955871317</v>
      </c>
    </row>
    <row r="55" spans="1:9" x14ac:dyDescent="0.25">
      <c r="A55" s="73" t="s">
        <v>272</v>
      </c>
      <c r="D55">
        <f>D40/D41</f>
        <v>-27.602421077413698</v>
      </c>
      <c r="E55">
        <f t="shared" ref="E55:H55" si="18">E40/E41</f>
        <v>-123.28267577403871</v>
      </c>
      <c r="F55">
        <f t="shared" si="18"/>
        <v>113.60711053259574</v>
      </c>
      <c r="G55">
        <f t="shared" si="18"/>
        <v>22.965179783856289</v>
      </c>
      <c r="H55">
        <f t="shared" si="18"/>
        <v>-65.534453905741813</v>
      </c>
      <c r="I55" s="108">
        <f t="shared" ref="I55" si="19">I40/I41</f>
        <v>-20.811396820375151</v>
      </c>
    </row>
    <row r="56" spans="1:9" x14ac:dyDescent="0.25">
      <c r="A56" s="73" t="s">
        <v>273</v>
      </c>
      <c r="D56">
        <f>D41/D32</f>
        <v>0.16519992787110141</v>
      </c>
      <c r="E56">
        <f t="shared" ref="E56:H56" si="20">E41/E32</f>
        <v>-0.68408311092017671</v>
      </c>
      <c r="F56">
        <f t="shared" si="20"/>
        <v>-1.295499155726338</v>
      </c>
      <c r="G56">
        <f t="shared" si="20"/>
        <v>-5.4698350261077201E-2</v>
      </c>
      <c r="H56">
        <f t="shared" si="20"/>
        <v>2.4127747197480343E-2</v>
      </c>
      <c r="I56" s="108">
        <f t="shared" ref="I56" si="21">I41/I32</f>
        <v>0.1229032137874156</v>
      </c>
    </row>
    <row r="57" spans="1:9" x14ac:dyDescent="0.25">
      <c r="A57" s="74" t="s">
        <v>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2DE6-AFAD-EA42-BCCA-3E5A0E948216}">
  <sheetPr>
    <outlinePr summaryBelow="0" summaryRight="0"/>
  </sheetPr>
  <dimension ref="A1:Z59"/>
  <sheetViews>
    <sheetView topLeftCell="A12" zoomScale="130" zoomScaleNormal="130" workbookViewId="0">
      <selection activeCell="F25" sqref="F25"/>
    </sheetView>
  </sheetViews>
  <sheetFormatPr defaultColWidth="14.42578125" defaultRowHeight="15.75" customHeight="1" x14ac:dyDescent="0.2"/>
  <cols>
    <col min="1" max="1" width="20.140625" style="79" customWidth="1"/>
    <col min="2" max="2" width="12" style="79" customWidth="1"/>
    <col min="3" max="3" width="12.7109375" style="79" customWidth="1"/>
    <col min="4" max="13" width="12" style="79" customWidth="1"/>
    <col min="14" max="16384" width="14.42578125" style="79"/>
  </cols>
  <sheetData>
    <row r="1" spans="1:13" ht="20.25" x14ac:dyDescent="0.3">
      <c r="A1" s="111" t="s">
        <v>204</v>
      </c>
      <c r="B1" s="112"/>
      <c r="C1" s="78" t="s">
        <v>250</v>
      </c>
      <c r="D1" s="80"/>
      <c r="E1" s="80"/>
      <c r="F1" s="80"/>
      <c r="G1" s="80"/>
      <c r="H1" s="80"/>
      <c r="I1" s="80"/>
      <c r="J1" s="80"/>
      <c r="K1" s="80"/>
      <c r="L1" s="80"/>
      <c r="M1" s="80"/>
    </row>
    <row r="2" spans="1:13" ht="20.25" x14ac:dyDescent="0.3">
      <c r="A2" s="111" t="s">
        <v>205</v>
      </c>
      <c r="B2" s="112"/>
      <c r="C2" s="80"/>
      <c r="D2" s="80"/>
      <c r="E2" s="80"/>
      <c r="F2" s="80"/>
      <c r="G2" s="80"/>
      <c r="H2" s="80"/>
      <c r="I2" s="80"/>
      <c r="J2" s="80"/>
      <c r="K2" s="80"/>
      <c r="L2" s="80"/>
      <c r="M2" s="80"/>
    </row>
    <row r="3" spans="1:13" ht="15.75" customHeight="1" x14ac:dyDescent="0.2">
      <c r="A3" s="80"/>
      <c r="B3" s="80"/>
      <c r="C3" s="80"/>
      <c r="D3" s="80"/>
      <c r="E3" s="80"/>
      <c r="F3" s="80"/>
      <c r="G3" s="80"/>
      <c r="H3" s="101"/>
      <c r="I3" s="80"/>
      <c r="J3" s="80"/>
      <c r="K3" s="80"/>
      <c r="L3" s="80"/>
      <c r="M3" s="80"/>
    </row>
    <row r="4" spans="1:13" ht="15" x14ac:dyDescent="0.2">
      <c r="A4" s="80"/>
      <c r="B4" s="100" t="s">
        <v>206</v>
      </c>
      <c r="C4" s="100" t="s">
        <v>207</v>
      </c>
      <c r="D4" s="100" t="s">
        <v>208</v>
      </c>
      <c r="E4" s="100" t="s">
        <v>209</v>
      </c>
      <c r="F4" s="100" t="s">
        <v>210</v>
      </c>
      <c r="G4" s="100" t="s">
        <v>211</v>
      </c>
      <c r="H4" s="100" t="s">
        <v>212</v>
      </c>
      <c r="I4" s="100" t="s">
        <v>213</v>
      </c>
      <c r="J4" s="100" t="s">
        <v>214</v>
      </c>
      <c r="K4" s="100" t="s">
        <v>215</v>
      </c>
      <c r="L4" s="100" t="s">
        <v>216</v>
      </c>
      <c r="M4" s="100" t="s">
        <v>217</v>
      </c>
    </row>
    <row r="5" spans="1:13" ht="15" x14ac:dyDescent="0.2">
      <c r="A5" s="85" t="s">
        <v>89</v>
      </c>
      <c r="B5" s="80"/>
      <c r="C5" s="80"/>
      <c r="D5" s="80"/>
      <c r="E5" s="80"/>
      <c r="F5" s="80"/>
      <c r="G5" s="80"/>
      <c r="H5" s="80"/>
      <c r="I5" s="80"/>
      <c r="J5" s="80"/>
      <c r="K5" s="80"/>
      <c r="L5" s="80"/>
      <c r="M5" s="80"/>
    </row>
    <row r="6" spans="1:13" ht="15.75" customHeight="1" x14ac:dyDescent="0.2">
      <c r="A6" s="83" t="s">
        <v>218</v>
      </c>
      <c r="B6" s="95">
        <f>((B17*$B$35)+(B18*$B$38))</f>
        <v>2647150</v>
      </c>
      <c r="C6" s="95">
        <f t="shared" ref="C6:M6" si="0">((C17*$B$35)+(C18*$B$38))</f>
        <v>3256800</v>
      </c>
      <c r="D6" s="95">
        <f t="shared" si="0"/>
        <v>3663900</v>
      </c>
      <c r="E6" s="95">
        <f t="shared" si="0"/>
        <v>4071000</v>
      </c>
      <c r="F6" s="95">
        <f t="shared" si="0"/>
        <v>4139850</v>
      </c>
      <c r="G6" s="95">
        <f t="shared" si="0"/>
        <v>4206700</v>
      </c>
      <c r="H6" s="95">
        <f t="shared" si="0"/>
        <v>4275550</v>
      </c>
      <c r="I6" s="95">
        <f t="shared" si="0"/>
        <v>4275550</v>
      </c>
      <c r="J6" s="95">
        <f t="shared" si="0"/>
        <v>4275550</v>
      </c>
      <c r="K6" s="95">
        <f t="shared" si="0"/>
        <v>4275550</v>
      </c>
      <c r="L6" s="95">
        <f t="shared" si="0"/>
        <v>4275550</v>
      </c>
      <c r="M6" s="95">
        <f t="shared" si="0"/>
        <v>4275550</v>
      </c>
    </row>
    <row r="7" spans="1:13" ht="15.75" customHeight="1" x14ac:dyDescent="0.2">
      <c r="A7" s="83" t="s">
        <v>219</v>
      </c>
      <c r="B7" s="95">
        <f>((B19*$B$35)+(B20*$B$38))</f>
        <v>245460</v>
      </c>
      <c r="C7" s="95">
        <f t="shared" ref="C7:M7" si="1">((C19*$B$35)+(C20*$B$38))</f>
        <v>611650</v>
      </c>
      <c r="D7" s="95">
        <f t="shared" si="1"/>
        <v>1018750</v>
      </c>
      <c r="E7" s="95">
        <f t="shared" si="1"/>
        <v>1628400</v>
      </c>
      <c r="F7" s="95">
        <f t="shared" si="1"/>
        <v>2035500</v>
      </c>
      <c r="G7" s="95">
        <f t="shared" si="1"/>
        <v>2442600</v>
      </c>
      <c r="H7" s="95">
        <f t="shared" si="1"/>
        <v>2849700</v>
      </c>
      <c r="I7" s="95">
        <f t="shared" si="1"/>
        <v>3256800</v>
      </c>
      <c r="J7" s="95">
        <f t="shared" si="1"/>
        <v>3663900</v>
      </c>
      <c r="K7" s="95">
        <f t="shared" si="1"/>
        <v>4071000</v>
      </c>
      <c r="L7" s="95">
        <f t="shared" si="1"/>
        <v>4478100</v>
      </c>
      <c r="M7" s="95">
        <f t="shared" si="1"/>
        <v>4885200</v>
      </c>
    </row>
    <row r="8" spans="1:13" ht="15.75" customHeight="1" x14ac:dyDescent="0.2">
      <c r="A8" s="83" t="s">
        <v>220</v>
      </c>
      <c r="B8" s="95">
        <f>((B21*$B$35)+(B22*$B$38))</f>
        <v>0</v>
      </c>
      <c r="C8" s="95">
        <f t="shared" ref="C8:M8" si="2">((C21*$B$35)+(C22*$B$38))</f>
        <v>0</v>
      </c>
      <c r="D8" s="95">
        <f t="shared" si="2"/>
        <v>0</v>
      </c>
      <c r="E8" s="95">
        <f t="shared" si="2"/>
        <v>245460</v>
      </c>
      <c r="F8" s="95">
        <f t="shared" si="2"/>
        <v>611650</v>
      </c>
      <c r="G8" s="95">
        <f t="shared" si="2"/>
        <v>1018750</v>
      </c>
      <c r="H8" s="95">
        <f t="shared" si="2"/>
        <v>1628400</v>
      </c>
      <c r="I8" s="95">
        <f t="shared" si="2"/>
        <v>2035500</v>
      </c>
      <c r="J8" s="95">
        <f t="shared" si="2"/>
        <v>2442600</v>
      </c>
      <c r="K8" s="95">
        <f t="shared" si="2"/>
        <v>2849700</v>
      </c>
      <c r="L8" s="95">
        <f t="shared" si="2"/>
        <v>3256800</v>
      </c>
      <c r="M8" s="95">
        <f t="shared" si="2"/>
        <v>3663900</v>
      </c>
    </row>
    <row r="9" spans="1:13" ht="15.75" customHeight="1" x14ac:dyDescent="0.2">
      <c r="A9" s="83" t="s">
        <v>221</v>
      </c>
      <c r="B9" s="95">
        <f t="shared" ref="B9:M9" si="3">B23*$B$39</f>
        <v>1056000</v>
      </c>
      <c r="C9" s="95">
        <f t="shared" si="3"/>
        <v>1562000</v>
      </c>
      <c r="D9" s="95">
        <f t="shared" si="3"/>
        <v>1892000</v>
      </c>
      <c r="E9" s="95">
        <f t="shared" si="3"/>
        <v>2420000</v>
      </c>
      <c r="F9" s="95">
        <f t="shared" si="3"/>
        <v>2750000</v>
      </c>
      <c r="G9" s="95">
        <f t="shared" si="3"/>
        <v>3102000</v>
      </c>
      <c r="H9" s="95">
        <f t="shared" si="3"/>
        <v>3542000</v>
      </c>
      <c r="I9" s="95">
        <f t="shared" si="3"/>
        <v>3872000</v>
      </c>
      <c r="J9" s="95">
        <f t="shared" si="3"/>
        <v>4202000</v>
      </c>
      <c r="K9" s="95">
        <f t="shared" si="3"/>
        <v>4532000</v>
      </c>
      <c r="L9" s="95">
        <f t="shared" si="3"/>
        <v>4862000</v>
      </c>
      <c r="M9" s="95">
        <f t="shared" si="3"/>
        <v>5192000</v>
      </c>
    </row>
    <row r="10" spans="1:13" ht="15.75" customHeight="1" x14ac:dyDescent="0.2">
      <c r="A10" s="83" t="s">
        <v>222</v>
      </c>
      <c r="B10" s="95">
        <f t="shared" ref="B10:M10" si="4">B24*$B$40</f>
        <v>0</v>
      </c>
      <c r="C10" s="95">
        <f t="shared" si="4"/>
        <v>0</v>
      </c>
      <c r="D10" s="95">
        <f t="shared" si="4"/>
        <v>0</v>
      </c>
      <c r="E10" s="95">
        <f t="shared" si="4"/>
        <v>0</v>
      </c>
      <c r="F10" s="95">
        <f t="shared" si="4"/>
        <v>0</v>
      </c>
      <c r="G10" s="95">
        <f t="shared" si="4"/>
        <v>0</v>
      </c>
      <c r="H10" s="95">
        <f t="shared" si="4"/>
        <v>0</v>
      </c>
      <c r="I10" s="95">
        <f t="shared" si="4"/>
        <v>0</v>
      </c>
      <c r="J10" s="95">
        <f t="shared" si="4"/>
        <v>0</v>
      </c>
      <c r="K10" s="95">
        <f t="shared" si="4"/>
        <v>0</v>
      </c>
      <c r="L10" s="95">
        <f t="shared" si="4"/>
        <v>0</v>
      </c>
      <c r="M10" s="95">
        <f t="shared" si="4"/>
        <v>0</v>
      </c>
    </row>
    <row r="11" spans="1:13" ht="15.75" customHeight="1" x14ac:dyDescent="0.2">
      <c r="A11" s="83" t="s">
        <v>223</v>
      </c>
      <c r="B11" s="95">
        <f t="shared" ref="B11:M11" si="5">B25*$B$41</f>
        <v>45200</v>
      </c>
      <c r="C11" s="95">
        <f t="shared" si="5"/>
        <v>62800</v>
      </c>
      <c r="D11" s="95">
        <f t="shared" si="5"/>
        <v>76000</v>
      </c>
      <c r="E11" s="95">
        <f t="shared" si="5"/>
        <v>96800</v>
      </c>
      <c r="F11" s="95">
        <f t="shared" si="5"/>
        <v>110400</v>
      </c>
      <c r="G11" s="95">
        <f t="shared" si="5"/>
        <v>124400</v>
      </c>
      <c r="H11" s="95">
        <f t="shared" si="5"/>
        <v>142000</v>
      </c>
      <c r="I11" s="95">
        <f t="shared" si="5"/>
        <v>155200</v>
      </c>
      <c r="J11" s="95">
        <f t="shared" si="5"/>
        <v>168400</v>
      </c>
      <c r="K11" s="95">
        <f t="shared" si="5"/>
        <v>181600</v>
      </c>
      <c r="L11" s="95">
        <f t="shared" si="5"/>
        <v>194800</v>
      </c>
      <c r="M11" s="95">
        <f t="shared" si="5"/>
        <v>208000</v>
      </c>
    </row>
    <row r="12" spans="1:13" ht="15.75" customHeight="1" x14ac:dyDescent="0.2">
      <c r="A12" s="83" t="s">
        <v>224</v>
      </c>
      <c r="B12" s="99">
        <f t="shared" ref="B12:M12" si="6">B26</f>
        <v>326000</v>
      </c>
      <c r="C12" s="99">
        <f t="shared" si="6"/>
        <v>442000</v>
      </c>
      <c r="D12" s="99">
        <f t="shared" si="6"/>
        <v>535000</v>
      </c>
      <c r="E12" s="99">
        <f t="shared" si="6"/>
        <v>680000</v>
      </c>
      <c r="F12" s="99">
        <f t="shared" si="6"/>
        <v>776000</v>
      </c>
      <c r="G12" s="99">
        <f t="shared" si="6"/>
        <v>876000</v>
      </c>
      <c r="H12" s="99">
        <f t="shared" si="6"/>
        <v>1000000</v>
      </c>
      <c r="I12" s="99">
        <f t="shared" si="6"/>
        <v>1093000</v>
      </c>
      <c r="J12" s="99">
        <f t="shared" si="6"/>
        <v>1186000</v>
      </c>
      <c r="K12" s="99">
        <f t="shared" si="6"/>
        <v>1279000</v>
      </c>
      <c r="L12" s="99">
        <f t="shared" si="6"/>
        <v>1372000</v>
      </c>
      <c r="M12" s="99">
        <f t="shared" si="6"/>
        <v>1465000</v>
      </c>
    </row>
    <row r="13" spans="1:13" ht="15.75" customHeight="1" x14ac:dyDescent="0.2">
      <c r="A13" s="83" t="s">
        <v>225</v>
      </c>
      <c r="B13" s="95">
        <f t="shared" ref="B13:M13" si="7">SUM(B6:B9)</f>
        <v>3948610</v>
      </c>
      <c r="C13" s="95">
        <f t="shared" si="7"/>
        <v>5430450</v>
      </c>
      <c r="D13" s="95">
        <f t="shared" si="7"/>
        <v>6574650</v>
      </c>
      <c r="E13" s="95">
        <f t="shared" si="7"/>
        <v>8364860</v>
      </c>
      <c r="F13" s="95">
        <f t="shared" si="7"/>
        <v>9537000</v>
      </c>
      <c r="G13" s="95">
        <f t="shared" si="7"/>
        <v>10770050</v>
      </c>
      <c r="H13" s="95">
        <f t="shared" si="7"/>
        <v>12295650</v>
      </c>
      <c r="I13" s="95">
        <f t="shared" si="7"/>
        <v>13439850</v>
      </c>
      <c r="J13" s="95">
        <f t="shared" si="7"/>
        <v>14584050</v>
      </c>
      <c r="K13" s="95">
        <f t="shared" si="7"/>
        <v>15728250</v>
      </c>
      <c r="L13" s="95">
        <f t="shared" si="7"/>
        <v>16872450</v>
      </c>
      <c r="M13" s="95">
        <f t="shared" si="7"/>
        <v>18016650</v>
      </c>
    </row>
    <row r="14" spans="1:13" ht="15.75" customHeight="1" x14ac:dyDescent="0.2">
      <c r="A14" s="96" t="s">
        <v>226</v>
      </c>
      <c r="B14" s="80"/>
      <c r="C14" s="80"/>
      <c r="D14" s="80"/>
      <c r="E14" s="95">
        <f>SUM(B13:E13)</f>
        <v>24318570</v>
      </c>
      <c r="F14" s="80"/>
      <c r="G14" s="80"/>
      <c r="H14" s="80"/>
      <c r="I14" s="95">
        <f>SUM(F13:I13)</f>
        <v>46042550</v>
      </c>
      <c r="J14" s="80"/>
      <c r="K14" s="80"/>
      <c r="L14" s="80"/>
      <c r="M14" s="95">
        <f>SUM(J13:M13)</f>
        <v>65201400</v>
      </c>
    </row>
    <row r="15" spans="1:13" ht="15.75" customHeight="1" x14ac:dyDescent="0.2">
      <c r="A15" s="80"/>
      <c r="B15" s="80"/>
      <c r="C15" s="80"/>
      <c r="D15" s="80"/>
      <c r="E15" s="80"/>
      <c r="F15" s="80"/>
      <c r="G15" s="80"/>
      <c r="H15" s="80"/>
      <c r="I15" s="80"/>
      <c r="J15" s="80"/>
      <c r="K15" s="80"/>
      <c r="L15" s="80"/>
      <c r="M15" s="80"/>
    </row>
    <row r="16" spans="1:13" ht="15" x14ac:dyDescent="0.2">
      <c r="A16" s="85" t="s">
        <v>227</v>
      </c>
      <c r="B16" s="80"/>
      <c r="C16" s="80"/>
      <c r="D16" s="80"/>
      <c r="E16" s="80"/>
      <c r="F16" s="80"/>
      <c r="G16" s="80"/>
      <c r="H16" s="80"/>
      <c r="I16" s="80"/>
      <c r="J16" s="80"/>
      <c r="K16" s="80"/>
      <c r="L16" s="80"/>
      <c r="M16" s="80"/>
    </row>
    <row r="17" spans="1:13" ht="15.75" customHeight="1" x14ac:dyDescent="0.2">
      <c r="A17" s="83" t="s">
        <v>218</v>
      </c>
      <c r="B17" s="98">
        <f>650*3</f>
        <v>1950</v>
      </c>
      <c r="C17" s="98">
        <v>2400</v>
      </c>
      <c r="D17" s="98">
        <v>2700</v>
      </c>
      <c r="E17" s="98">
        <v>3000</v>
      </c>
      <c r="F17" s="98">
        <v>3050</v>
      </c>
      <c r="G17" s="98">
        <v>3100</v>
      </c>
      <c r="H17" s="98">
        <v>3150</v>
      </c>
      <c r="I17" s="98">
        <v>3150</v>
      </c>
      <c r="J17" s="98">
        <v>3150</v>
      </c>
      <c r="K17" s="98">
        <v>3150</v>
      </c>
      <c r="L17" s="98">
        <v>3150</v>
      </c>
      <c r="M17" s="98">
        <v>3150</v>
      </c>
    </row>
    <row r="18" spans="1:13" ht="15.75" customHeight="1" x14ac:dyDescent="0.2">
      <c r="A18" s="97" t="s">
        <v>228</v>
      </c>
      <c r="B18" s="86">
        <f t="shared" ref="B18:M18" si="8">ROUNDUP(0.03*B17,0)</f>
        <v>59</v>
      </c>
      <c r="C18" s="96">
        <f t="shared" si="8"/>
        <v>72</v>
      </c>
      <c r="D18" s="96">
        <f t="shared" si="8"/>
        <v>81</v>
      </c>
      <c r="E18" s="96">
        <f t="shared" si="8"/>
        <v>90</v>
      </c>
      <c r="F18" s="96">
        <f t="shared" si="8"/>
        <v>92</v>
      </c>
      <c r="G18" s="96">
        <f t="shared" si="8"/>
        <v>93</v>
      </c>
      <c r="H18" s="96">
        <f t="shared" si="8"/>
        <v>95</v>
      </c>
      <c r="I18" s="96">
        <f t="shared" si="8"/>
        <v>95</v>
      </c>
      <c r="J18" s="96">
        <f t="shared" si="8"/>
        <v>95</v>
      </c>
      <c r="K18" s="96">
        <f t="shared" si="8"/>
        <v>95</v>
      </c>
      <c r="L18" s="96">
        <f t="shared" si="8"/>
        <v>95</v>
      </c>
      <c r="M18" s="96">
        <f t="shared" si="8"/>
        <v>95</v>
      </c>
    </row>
    <row r="19" spans="1:13" ht="15.75" customHeight="1" x14ac:dyDescent="0.2">
      <c r="A19" s="97" t="s">
        <v>219</v>
      </c>
      <c r="B19" s="86">
        <v>180</v>
      </c>
      <c r="C19" s="96">
        <v>450</v>
      </c>
      <c r="D19" s="96">
        <v>750</v>
      </c>
      <c r="E19" s="96">
        <v>1200</v>
      </c>
      <c r="F19" s="96">
        <v>1500</v>
      </c>
      <c r="G19" s="96">
        <v>1800</v>
      </c>
      <c r="H19" s="96">
        <v>2100</v>
      </c>
      <c r="I19" s="96">
        <v>2400</v>
      </c>
      <c r="J19" s="86">
        <v>2700</v>
      </c>
      <c r="K19" s="86">
        <v>3000</v>
      </c>
      <c r="L19" s="86">
        <v>3300</v>
      </c>
      <c r="M19" s="86">
        <v>3600</v>
      </c>
    </row>
    <row r="20" spans="1:13" ht="15.75" customHeight="1" x14ac:dyDescent="0.2">
      <c r="A20" s="97" t="s">
        <v>229</v>
      </c>
      <c r="B20" s="86">
        <f t="shared" ref="B20:M20" si="9">ROUNDUP(0.03*B19,0)</f>
        <v>6</v>
      </c>
      <c r="C20" s="96">
        <f t="shared" si="9"/>
        <v>14</v>
      </c>
      <c r="D20" s="96">
        <f t="shared" si="9"/>
        <v>23</v>
      </c>
      <c r="E20" s="96">
        <f t="shared" si="9"/>
        <v>36</v>
      </c>
      <c r="F20" s="96">
        <f t="shared" si="9"/>
        <v>45</v>
      </c>
      <c r="G20" s="96">
        <f t="shared" si="9"/>
        <v>54</v>
      </c>
      <c r="H20" s="96">
        <f t="shared" si="9"/>
        <v>63</v>
      </c>
      <c r="I20" s="96">
        <f t="shared" si="9"/>
        <v>72</v>
      </c>
      <c r="J20" s="96">
        <f t="shared" si="9"/>
        <v>81</v>
      </c>
      <c r="K20" s="96">
        <f t="shared" si="9"/>
        <v>90</v>
      </c>
      <c r="L20" s="96">
        <f t="shared" si="9"/>
        <v>99</v>
      </c>
      <c r="M20" s="96">
        <f t="shared" si="9"/>
        <v>108</v>
      </c>
    </row>
    <row r="21" spans="1:13" ht="15.75" customHeight="1" x14ac:dyDescent="0.2">
      <c r="A21" s="97" t="s">
        <v>220</v>
      </c>
      <c r="B21" s="96"/>
      <c r="C21" s="96"/>
      <c r="D21" s="96"/>
      <c r="E21" s="86">
        <v>180</v>
      </c>
      <c r="F21" s="96">
        <v>450</v>
      </c>
      <c r="G21" s="96">
        <v>750</v>
      </c>
      <c r="H21" s="96">
        <v>1200</v>
      </c>
      <c r="I21" s="96">
        <v>1500</v>
      </c>
      <c r="J21" s="96">
        <v>1800</v>
      </c>
      <c r="K21" s="96">
        <v>2100</v>
      </c>
      <c r="L21" s="96">
        <v>2400</v>
      </c>
      <c r="M21" s="96">
        <v>2700</v>
      </c>
    </row>
    <row r="22" spans="1:13" ht="15.75" customHeight="1" x14ac:dyDescent="0.2">
      <c r="A22" s="97" t="s">
        <v>230</v>
      </c>
      <c r="B22" s="86"/>
      <c r="C22" s="96"/>
      <c r="D22" s="96"/>
      <c r="E22" s="96">
        <f t="shared" ref="E22:M22" si="10">ROUNDUP(0.03*E21,0)</f>
        <v>6</v>
      </c>
      <c r="F22" s="96">
        <f t="shared" si="10"/>
        <v>14</v>
      </c>
      <c r="G22" s="96">
        <f t="shared" si="10"/>
        <v>23</v>
      </c>
      <c r="H22" s="96">
        <f t="shared" si="10"/>
        <v>36</v>
      </c>
      <c r="I22" s="96">
        <f t="shared" si="10"/>
        <v>45</v>
      </c>
      <c r="J22" s="96">
        <f t="shared" si="10"/>
        <v>54</v>
      </c>
      <c r="K22" s="96">
        <f t="shared" si="10"/>
        <v>63</v>
      </c>
      <c r="L22" s="96">
        <f t="shared" si="10"/>
        <v>72</v>
      </c>
      <c r="M22" s="96">
        <f t="shared" si="10"/>
        <v>81</v>
      </c>
    </row>
    <row r="23" spans="1:13" ht="15.75" customHeight="1" x14ac:dyDescent="0.2">
      <c r="A23" s="97" t="s">
        <v>231</v>
      </c>
      <c r="B23" s="86">
        <v>48</v>
      </c>
      <c r="C23" s="86">
        <f t="shared" ref="C23:M23" si="11">ROUND((C17+C19+C21)/40,0)</f>
        <v>71</v>
      </c>
      <c r="D23" s="96">
        <f t="shared" si="11"/>
        <v>86</v>
      </c>
      <c r="E23" s="96">
        <f t="shared" si="11"/>
        <v>110</v>
      </c>
      <c r="F23" s="96">
        <f t="shared" si="11"/>
        <v>125</v>
      </c>
      <c r="G23" s="96">
        <f t="shared" si="11"/>
        <v>141</v>
      </c>
      <c r="H23" s="96">
        <f t="shared" si="11"/>
        <v>161</v>
      </c>
      <c r="I23" s="96">
        <f t="shared" si="11"/>
        <v>176</v>
      </c>
      <c r="J23" s="96">
        <f t="shared" si="11"/>
        <v>191</v>
      </c>
      <c r="K23" s="96">
        <f t="shared" si="11"/>
        <v>206</v>
      </c>
      <c r="L23" s="96">
        <f t="shared" si="11"/>
        <v>221</v>
      </c>
      <c r="M23" s="96">
        <f t="shared" si="11"/>
        <v>236</v>
      </c>
    </row>
    <row r="24" spans="1:13" ht="15.75" customHeight="1" x14ac:dyDescent="0.2">
      <c r="A24" s="83" t="s">
        <v>232</v>
      </c>
      <c r="B24" s="86">
        <v>0</v>
      </c>
      <c r="C24" s="86"/>
      <c r="D24" s="86"/>
      <c r="E24" s="86"/>
      <c r="F24" s="86"/>
      <c r="G24" s="86"/>
      <c r="H24" s="86"/>
      <c r="I24" s="86"/>
      <c r="J24" s="86"/>
      <c r="K24" s="86"/>
      <c r="L24" s="86"/>
      <c r="M24" s="86"/>
    </row>
    <row r="25" spans="1:13" ht="15.75" customHeight="1" x14ac:dyDescent="0.2">
      <c r="A25" s="80" t="s">
        <v>233</v>
      </c>
      <c r="B25" s="80">
        <f t="shared" ref="B25:M25" si="12">SUM(B18+B20+B22+B23)</f>
        <v>113</v>
      </c>
      <c r="C25" s="80">
        <f t="shared" si="12"/>
        <v>157</v>
      </c>
      <c r="D25" s="80">
        <f t="shared" si="12"/>
        <v>190</v>
      </c>
      <c r="E25" s="80">
        <f t="shared" si="12"/>
        <v>242</v>
      </c>
      <c r="F25" s="80">
        <f t="shared" si="12"/>
        <v>276</v>
      </c>
      <c r="G25" s="80">
        <f t="shared" si="12"/>
        <v>311</v>
      </c>
      <c r="H25" s="80">
        <f t="shared" si="12"/>
        <v>355</v>
      </c>
      <c r="I25" s="80">
        <f t="shared" si="12"/>
        <v>388</v>
      </c>
      <c r="J25" s="80">
        <f t="shared" si="12"/>
        <v>421</v>
      </c>
      <c r="K25" s="80">
        <f t="shared" si="12"/>
        <v>454</v>
      </c>
      <c r="L25" s="80">
        <f t="shared" si="12"/>
        <v>487</v>
      </c>
      <c r="M25" s="80">
        <f t="shared" si="12"/>
        <v>520</v>
      </c>
    </row>
    <row r="26" spans="1:13" ht="15.75" customHeight="1" x14ac:dyDescent="0.2">
      <c r="A26" s="80" t="s">
        <v>224</v>
      </c>
      <c r="B26" s="95">
        <f t="shared" ref="B26:M26" si="13">((B17+B19+B21)*$C$35*$B$42)+((B18+B20+B22)*$C$38*$B$42)+(B23*$C$39*$B$42)</f>
        <v>326000</v>
      </c>
      <c r="C26" s="95">
        <f t="shared" si="13"/>
        <v>442000</v>
      </c>
      <c r="D26" s="95">
        <f t="shared" si="13"/>
        <v>535000</v>
      </c>
      <c r="E26" s="95">
        <f t="shared" si="13"/>
        <v>680000</v>
      </c>
      <c r="F26" s="95">
        <f t="shared" si="13"/>
        <v>776000</v>
      </c>
      <c r="G26" s="95">
        <f t="shared" si="13"/>
        <v>876000</v>
      </c>
      <c r="H26" s="95">
        <f t="shared" si="13"/>
        <v>1000000</v>
      </c>
      <c r="I26" s="95">
        <f t="shared" si="13"/>
        <v>1093000</v>
      </c>
      <c r="J26" s="95">
        <f t="shared" si="13"/>
        <v>1186000</v>
      </c>
      <c r="K26" s="95">
        <f t="shared" si="13"/>
        <v>1279000</v>
      </c>
      <c r="L26" s="95">
        <f t="shared" si="13"/>
        <v>1372000</v>
      </c>
      <c r="M26" s="95">
        <f t="shared" si="13"/>
        <v>1465000</v>
      </c>
    </row>
    <row r="27" spans="1:13" ht="15.75" customHeight="1" x14ac:dyDescent="0.2">
      <c r="A27" s="80"/>
      <c r="B27" s="80"/>
      <c r="C27" s="80"/>
      <c r="D27" s="80"/>
      <c r="E27" s="80"/>
      <c r="F27" s="80"/>
      <c r="G27" s="80"/>
      <c r="H27" s="80"/>
      <c r="I27" s="80"/>
      <c r="J27" s="80"/>
      <c r="K27" s="80"/>
      <c r="L27" s="80"/>
      <c r="M27" s="80"/>
    </row>
    <row r="28" spans="1:13" ht="15.75" customHeight="1" x14ac:dyDescent="0.2">
      <c r="A28" s="80" t="s">
        <v>234</v>
      </c>
      <c r="B28" s="102">
        <v>700</v>
      </c>
      <c r="C28" s="80" t="s">
        <v>235</v>
      </c>
      <c r="D28" s="80"/>
      <c r="E28" s="102">
        <f>(E17+E19+E21)/3</f>
        <v>1460</v>
      </c>
      <c r="F28" s="80"/>
      <c r="G28" s="80"/>
      <c r="H28" s="80"/>
      <c r="I28" s="103">
        <f>(I17+I19+I21)/3</f>
        <v>2350</v>
      </c>
      <c r="J28" s="80"/>
      <c r="K28" s="80"/>
      <c r="L28" s="80"/>
      <c r="M28" s="80"/>
    </row>
    <row r="29" spans="1:13" ht="15.75" customHeight="1" x14ac:dyDescent="0.2">
      <c r="A29" s="80"/>
      <c r="B29" s="94">
        <v>1</v>
      </c>
      <c r="D29" s="80"/>
      <c r="E29" s="94">
        <f>E28/B28</f>
        <v>2.0857142857142859</v>
      </c>
      <c r="F29" s="80"/>
      <c r="G29" s="80"/>
      <c r="H29" s="80"/>
      <c r="I29" s="94">
        <f>I28/B28</f>
        <v>3.3571428571428572</v>
      </c>
      <c r="J29" s="80"/>
      <c r="K29" s="80"/>
      <c r="L29" s="80"/>
      <c r="M29" s="80"/>
    </row>
    <row r="30" spans="1:13" ht="15.75" customHeight="1" x14ac:dyDescent="0.2">
      <c r="A30" s="80"/>
      <c r="B30" s="80"/>
      <c r="C30" s="80"/>
      <c r="D30" s="80"/>
      <c r="E30" s="80"/>
      <c r="F30" s="80"/>
      <c r="G30" s="80"/>
      <c r="H30" s="80"/>
      <c r="I30" s="94">
        <f>I28/E28</f>
        <v>1.6095890410958904</v>
      </c>
      <c r="J30" s="80"/>
      <c r="K30" s="80"/>
      <c r="L30" s="80"/>
      <c r="M30" s="80"/>
    </row>
    <row r="31" spans="1:13" ht="15.75" customHeight="1" x14ac:dyDescent="0.2">
      <c r="A31" s="80"/>
      <c r="B31" s="80"/>
      <c r="C31" s="80"/>
      <c r="D31" s="80"/>
      <c r="E31" s="80"/>
      <c r="F31" s="80"/>
      <c r="G31" s="80"/>
      <c r="H31" s="80"/>
      <c r="I31" s="80"/>
      <c r="J31" s="80"/>
      <c r="K31" s="80"/>
      <c r="L31" s="80"/>
      <c r="M31" s="80"/>
    </row>
    <row r="32" spans="1:13" ht="15.75" customHeight="1" x14ac:dyDescent="0.2">
      <c r="A32" s="80"/>
      <c r="B32" s="80"/>
      <c r="C32" s="80"/>
      <c r="D32" s="80"/>
      <c r="E32" s="80"/>
      <c r="F32" s="80"/>
      <c r="G32" s="80"/>
      <c r="H32" s="80"/>
      <c r="I32" s="80"/>
      <c r="J32" s="80"/>
      <c r="K32" s="80"/>
      <c r="L32" s="80"/>
      <c r="M32" s="80"/>
    </row>
    <row r="33" spans="1:26" ht="15.75" customHeight="1" x14ac:dyDescent="0.2">
      <c r="A33" s="80"/>
      <c r="B33" s="80"/>
      <c r="C33" s="80"/>
      <c r="D33" s="80"/>
      <c r="E33" s="80"/>
      <c r="F33" s="80"/>
      <c r="G33" s="80"/>
      <c r="H33" s="80"/>
      <c r="I33" s="80"/>
      <c r="J33" s="80"/>
      <c r="K33" s="80"/>
      <c r="L33" s="80"/>
      <c r="M33" s="80"/>
    </row>
    <row r="34" spans="1:26" ht="15.75" customHeight="1" x14ac:dyDescent="0.2">
      <c r="A34" s="93" t="s">
        <v>236</v>
      </c>
      <c r="B34" s="93" t="s">
        <v>89</v>
      </c>
      <c r="C34" s="93" t="s">
        <v>237</v>
      </c>
      <c r="D34" s="80"/>
      <c r="E34" s="80"/>
      <c r="F34" s="80"/>
      <c r="G34" s="80"/>
      <c r="H34" s="80"/>
      <c r="I34" s="80"/>
      <c r="J34" s="80"/>
      <c r="K34" s="80"/>
      <c r="L34" s="80"/>
      <c r="M34" s="80"/>
    </row>
    <row r="35" spans="1:26" ht="15.75" customHeight="1" x14ac:dyDescent="0.2">
      <c r="A35" s="80" t="s">
        <v>238</v>
      </c>
      <c r="B35" s="91">
        <f>SUM(B36:B37)</f>
        <v>1297</v>
      </c>
      <c r="C35" s="92">
        <v>0.02</v>
      </c>
      <c r="D35" s="80"/>
      <c r="E35" s="80"/>
      <c r="F35" s="80"/>
      <c r="G35" s="80"/>
      <c r="H35" s="80"/>
      <c r="I35" s="80"/>
      <c r="J35" s="80"/>
      <c r="K35" s="80"/>
      <c r="L35" s="80"/>
      <c r="M35" s="80"/>
    </row>
    <row r="36" spans="1:26" ht="15.75" customHeight="1" x14ac:dyDescent="0.2">
      <c r="A36" s="80" t="s">
        <v>239</v>
      </c>
      <c r="B36" s="91">
        <v>127</v>
      </c>
      <c r="C36" s="80"/>
      <c r="D36" s="80"/>
      <c r="E36" s="80"/>
      <c r="F36" s="80"/>
      <c r="G36" s="80"/>
      <c r="H36" s="80"/>
      <c r="I36" s="80"/>
      <c r="J36" s="80"/>
      <c r="K36" s="80"/>
      <c r="L36" s="80"/>
      <c r="M36" s="80"/>
    </row>
    <row r="37" spans="1:26" ht="15.75" customHeight="1" x14ac:dyDescent="0.2">
      <c r="A37" s="80" t="s">
        <v>240</v>
      </c>
      <c r="B37" s="91">
        <v>1170</v>
      </c>
      <c r="C37" s="80"/>
      <c r="D37" s="80"/>
      <c r="E37" s="80"/>
      <c r="F37" s="80"/>
      <c r="G37" s="80"/>
      <c r="H37" s="80"/>
      <c r="I37" s="80"/>
      <c r="J37" s="80"/>
      <c r="K37" s="80"/>
      <c r="L37" s="80"/>
      <c r="M37" s="80"/>
    </row>
    <row r="38" spans="1:26" ht="15.75" customHeight="1" x14ac:dyDescent="0.2">
      <c r="A38" s="80" t="s">
        <v>241</v>
      </c>
      <c r="B38" s="91">
        <v>2000</v>
      </c>
      <c r="C38" s="92">
        <v>0.2</v>
      </c>
      <c r="D38" s="80"/>
      <c r="E38" s="80"/>
      <c r="F38" s="80"/>
      <c r="G38" s="80"/>
      <c r="H38" s="80"/>
      <c r="I38" s="80"/>
      <c r="J38" s="80"/>
      <c r="K38" s="80"/>
      <c r="L38" s="80"/>
      <c r="M38" s="80"/>
    </row>
    <row r="39" spans="1:26" ht="15.75" customHeight="1" x14ac:dyDescent="0.2">
      <c r="A39" s="80" t="s">
        <v>170</v>
      </c>
      <c r="B39" s="91">
        <v>22000</v>
      </c>
      <c r="C39" s="92">
        <v>0.2</v>
      </c>
      <c r="D39" s="80"/>
      <c r="E39" s="80"/>
      <c r="F39" s="80"/>
      <c r="G39" s="80"/>
      <c r="H39" s="80"/>
      <c r="I39" s="80"/>
      <c r="J39" s="80"/>
      <c r="K39" s="80"/>
      <c r="L39" s="80"/>
      <c r="M39" s="80"/>
    </row>
    <row r="40" spans="1:26" ht="15.75" customHeight="1" x14ac:dyDescent="0.2">
      <c r="A40" s="80" t="s">
        <v>242</v>
      </c>
      <c r="B40" s="91">
        <v>10000</v>
      </c>
      <c r="C40" s="80">
        <v>0</v>
      </c>
      <c r="D40" s="80"/>
      <c r="E40" s="80"/>
      <c r="F40" s="80"/>
      <c r="G40" s="80"/>
      <c r="H40" s="80"/>
      <c r="I40" s="80"/>
      <c r="J40" s="80"/>
      <c r="K40" s="80"/>
      <c r="L40" s="80"/>
      <c r="M40" s="80"/>
    </row>
    <row r="41" spans="1:26" ht="15.75" customHeight="1" x14ac:dyDescent="0.2">
      <c r="A41" s="80" t="s">
        <v>223</v>
      </c>
      <c r="B41" s="90">
        <v>400</v>
      </c>
      <c r="C41" s="80">
        <v>0</v>
      </c>
      <c r="D41" s="80"/>
      <c r="E41" s="80"/>
      <c r="F41" s="80"/>
      <c r="G41" s="80"/>
      <c r="H41" s="80"/>
      <c r="I41" s="80"/>
      <c r="J41" s="80"/>
      <c r="K41" s="80"/>
      <c r="L41" s="80"/>
      <c r="M41" s="80"/>
    </row>
    <row r="42" spans="1:26" ht="15.75" customHeight="1" x14ac:dyDescent="0.2">
      <c r="A42" s="80" t="s">
        <v>224</v>
      </c>
      <c r="B42" s="89">
        <v>5000</v>
      </c>
      <c r="C42" s="80"/>
      <c r="D42" s="80"/>
      <c r="E42" s="80"/>
      <c r="F42" s="80"/>
      <c r="G42" s="80"/>
      <c r="H42" s="80"/>
      <c r="I42" s="80"/>
      <c r="J42" s="80"/>
      <c r="K42" s="80"/>
      <c r="L42" s="80"/>
      <c r="M42" s="80"/>
    </row>
    <row r="47" spans="1:26" ht="15.75" customHeight="1" x14ac:dyDescent="0.2">
      <c r="A47" s="88" t="s">
        <v>243</v>
      </c>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spans="1:26" ht="15.75" customHeight="1" x14ac:dyDescent="0.2">
      <c r="A48" s="80"/>
      <c r="B48" s="80"/>
      <c r="C48" s="80"/>
      <c r="D48" s="80"/>
      <c r="E48" s="80"/>
      <c r="F48" s="80"/>
      <c r="G48" s="80"/>
      <c r="H48" s="80"/>
      <c r="I48" s="80"/>
      <c r="J48" s="80"/>
      <c r="K48" s="80"/>
      <c r="L48" s="80"/>
      <c r="M48" s="80"/>
    </row>
    <row r="49" spans="1:13" ht="15.75" customHeight="1" x14ac:dyDescent="0.2">
      <c r="A49" s="80" t="s">
        <v>244</v>
      </c>
      <c r="B49" s="86">
        <v>25</v>
      </c>
      <c r="C49" s="80"/>
      <c r="D49" s="80"/>
      <c r="E49" s="80"/>
      <c r="F49" s="80"/>
      <c r="G49" s="80"/>
      <c r="H49" s="80"/>
      <c r="I49" s="80"/>
      <c r="J49" s="80"/>
      <c r="K49" s="80"/>
      <c r="L49" s="80"/>
      <c r="M49" s="80"/>
    </row>
    <row r="50" spans="1:13" ht="15.75" customHeight="1" x14ac:dyDescent="0.2">
      <c r="A50" s="80"/>
      <c r="B50" s="80"/>
      <c r="C50" s="80"/>
      <c r="D50" s="80"/>
      <c r="E50" s="80"/>
      <c r="F50" s="80"/>
      <c r="G50" s="80"/>
      <c r="H50" s="80"/>
      <c r="I50" s="80"/>
      <c r="J50" s="80"/>
      <c r="K50" s="80"/>
      <c r="L50" s="80"/>
      <c r="M50" s="80"/>
    </row>
    <row r="51" spans="1:13" ht="15" x14ac:dyDescent="0.2">
      <c r="A51" s="85" t="s">
        <v>90</v>
      </c>
      <c r="B51" s="80"/>
      <c r="C51" s="80"/>
      <c r="D51" s="80"/>
      <c r="E51" s="80"/>
      <c r="F51" s="80"/>
      <c r="G51" s="80"/>
      <c r="H51" s="80"/>
      <c r="I51" s="80"/>
      <c r="J51" s="80"/>
      <c r="K51" s="80"/>
      <c r="L51" s="80"/>
      <c r="M51" s="80"/>
    </row>
    <row r="52" spans="1:13" ht="15.75" customHeight="1" x14ac:dyDescent="0.2">
      <c r="A52" s="83" t="s">
        <v>245</v>
      </c>
      <c r="B52" s="82">
        <f t="shared" ref="B52:M52" si="14">SUM(B53:B55)</f>
        <v>4</v>
      </c>
      <c r="C52" s="82">
        <f t="shared" si="14"/>
        <v>4</v>
      </c>
      <c r="D52" s="81">
        <f t="shared" si="14"/>
        <v>4</v>
      </c>
      <c r="E52" s="81">
        <f t="shared" si="14"/>
        <v>4</v>
      </c>
      <c r="F52" s="81">
        <f t="shared" si="14"/>
        <v>4</v>
      </c>
      <c r="G52" s="81">
        <f t="shared" si="14"/>
        <v>6</v>
      </c>
      <c r="H52" s="81">
        <f t="shared" si="14"/>
        <v>6</v>
      </c>
      <c r="I52" s="81">
        <f t="shared" si="14"/>
        <v>6</v>
      </c>
      <c r="J52" s="81">
        <f t="shared" si="14"/>
        <v>6</v>
      </c>
      <c r="K52" s="81">
        <f t="shared" si="14"/>
        <v>6</v>
      </c>
      <c r="L52" s="81">
        <f t="shared" si="14"/>
        <v>6</v>
      </c>
      <c r="M52" s="81">
        <f t="shared" si="14"/>
        <v>6</v>
      </c>
    </row>
    <row r="53" spans="1:13" ht="15.75" customHeight="1" x14ac:dyDescent="0.2">
      <c r="A53" s="84" t="s">
        <v>246</v>
      </c>
      <c r="B53" s="82">
        <v>3</v>
      </c>
      <c r="C53" s="82">
        <v>2</v>
      </c>
      <c r="D53" s="81">
        <v>2</v>
      </c>
      <c r="E53" s="81">
        <v>2</v>
      </c>
      <c r="F53" s="81">
        <v>2</v>
      </c>
      <c r="G53" s="81">
        <v>3</v>
      </c>
      <c r="H53" s="81">
        <v>3</v>
      </c>
      <c r="I53" s="81">
        <v>3</v>
      </c>
      <c r="J53" s="81">
        <v>3</v>
      </c>
      <c r="K53" s="81">
        <v>3</v>
      </c>
      <c r="L53" s="81">
        <v>3</v>
      </c>
      <c r="M53" s="81">
        <v>3</v>
      </c>
    </row>
    <row r="54" spans="1:13" ht="15.75" customHeight="1" x14ac:dyDescent="0.2">
      <c r="A54" s="84" t="s">
        <v>247</v>
      </c>
      <c r="B54" s="82">
        <v>1</v>
      </c>
      <c r="C54" s="82">
        <v>2</v>
      </c>
      <c r="D54" s="81">
        <v>1</v>
      </c>
      <c r="E54" s="81">
        <v>1</v>
      </c>
      <c r="F54" s="81">
        <v>1</v>
      </c>
      <c r="G54" s="81">
        <v>2</v>
      </c>
      <c r="H54" s="81">
        <v>2</v>
      </c>
      <c r="I54" s="81">
        <v>2</v>
      </c>
      <c r="J54" s="81">
        <v>2</v>
      </c>
      <c r="K54" s="81">
        <v>2</v>
      </c>
      <c r="L54" s="81">
        <v>2</v>
      </c>
      <c r="M54" s="81">
        <v>2</v>
      </c>
    </row>
    <row r="55" spans="1:13" ht="15.75" customHeight="1" x14ac:dyDescent="0.2">
      <c r="A55" s="84" t="s">
        <v>222</v>
      </c>
      <c r="B55" s="82">
        <v>0</v>
      </c>
      <c r="C55" s="82">
        <v>0</v>
      </c>
      <c r="D55" s="81">
        <v>1</v>
      </c>
      <c r="E55" s="81">
        <v>1</v>
      </c>
      <c r="F55" s="81">
        <v>1</v>
      </c>
      <c r="G55" s="81">
        <v>1</v>
      </c>
      <c r="H55" s="81">
        <v>1</v>
      </c>
      <c r="I55" s="81">
        <v>1</v>
      </c>
      <c r="J55" s="81">
        <v>1</v>
      </c>
      <c r="K55" s="81">
        <v>1</v>
      </c>
      <c r="L55" s="81">
        <v>1</v>
      </c>
      <c r="M55" s="81">
        <v>1</v>
      </c>
    </row>
    <row r="56" spans="1:13" ht="15.75" customHeight="1" x14ac:dyDescent="0.2">
      <c r="A56" s="83" t="s">
        <v>248</v>
      </c>
      <c r="B56" s="82">
        <v>3</v>
      </c>
      <c r="C56" s="82">
        <v>3</v>
      </c>
      <c r="D56" s="81">
        <v>3</v>
      </c>
      <c r="E56" s="81">
        <v>3</v>
      </c>
      <c r="F56" s="81">
        <v>3</v>
      </c>
      <c r="G56" s="81" t="s">
        <v>249</v>
      </c>
      <c r="H56" s="81" t="s">
        <v>249</v>
      </c>
      <c r="I56" s="81" t="s">
        <v>249</v>
      </c>
      <c r="J56" s="81" t="s">
        <v>249</v>
      </c>
      <c r="K56" s="81" t="s">
        <v>249</v>
      </c>
      <c r="L56" s="81" t="s">
        <v>249</v>
      </c>
      <c r="M56" s="81" t="s">
        <v>249</v>
      </c>
    </row>
    <row r="57" spans="1:13" ht="15.75" customHeight="1" x14ac:dyDescent="0.2">
      <c r="A57" s="80"/>
      <c r="B57" s="80"/>
      <c r="C57" s="80"/>
      <c r="D57" s="80"/>
      <c r="E57" s="80"/>
      <c r="F57" s="80"/>
      <c r="G57" s="80"/>
      <c r="H57" s="80"/>
      <c r="I57" s="80"/>
      <c r="J57" s="80"/>
      <c r="K57" s="80"/>
      <c r="L57" s="80"/>
      <c r="M57" s="80"/>
    </row>
    <row r="58" spans="1:13" ht="15.75" customHeight="1" x14ac:dyDescent="0.2">
      <c r="A58" s="80"/>
      <c r="B58" s="80"/>
      <c r="C58" s="80"/>
      <c r="D58" s="80"/>
      <c r="E58" s="80"/>
      <c r="F58" s="80"/>
      <c r="G58" s="80"/>
      <c r="H58" s="80"/>
      <c r="I58" s="80"/>
      <c r="J58" s="80"/>
      <c r="K58" s="80"/>
      <c r="L58" s="80"/>
      <c r="M58" s="80"/>
    </row>
    <row r="59" spans="1:13" ht="15.75" customHeight="1" x14ac:dyDescent="0.2">
      <c r="A59" s="80"/>
      <c r="B59" s="80"/>
      <c r="C59" s="80"/>
      <c r="D59" s="80"/>
      <c r="E59" s="80"/>
      <c r="F59" s="80"/>
      <c r="G59" s="80"/>
      <c r="H59" s="80"/>
      <c r="I59" s="80"/>
      <c r="J59" s="80"/>
      <c r="K59" s="80"/>
      <c r="L59" s="80"/>
      <c r="M59" s="80"/>
    </row>
  </sheetData>
  <mergeCells count="2">
    <mergeCell ref="A1:B1"/>
    <mergeCell ref="A2:B2"/>
  </mergeCells>
  <hyperlinks>
    <hyperlink ref="C1" r:id="rId1" location="gid=494501149" display="https://docs.google.com/spreadsheets/d/1B34pgntEgkLFMQQ96zLj_XijYwJJx8AuhfoN37k96Iw/edit - gid=494501149" xr:uid="{BBBB28E0-754B-EF45-9EA9-7D4E7671DBA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23800-A5F3-B844-97DF-E2AEA46670B0}">
  <dimension ref="A1:I10"/>
  <sheetViews>
    <sheetView workbookViewId="0">
      <selection activeCell="C11" sqref="C11"/>
    </sheetView>
  </sheetViews>
  <sheetFormatPr defaultColWidth="11.42578125" defaultRowHeight="15" x14ac:dyDescent="0.25"/>
  <cols>
    <col min="5" max="5" width="12.28515625" customWidth="1"/>
  </cols>
  <sheetData>
    <row r="1" spans="1:9" x14ac:dyDescent="0.25">
      <c r="A1" t="s">
        <v>195</v>
      </c>
    </row>
    <row r="4" spans="1:9" x14ac:dyDescent="0.25">
      <c r="B4" t="s">
        <v>234</v>
      </c>
      <c r="D4" t="s">
        <v>200</v>
      </c>
      <c r="E4" t="s">
        <v>201</v>
      </c>
      <c r="F4" t="s">
        <v>57</v>
      </c>
      <c r="G4" t="s">
        <v>202</v>
      </c>
      <c r="H4" t="s">
        <v>203</v>
      </c>
    </row>
    <row r="5" spans="1:9" x14ac:dyDescent="0.25">
      <c r="A5" t="s">
        <v>251</v>
      </c>
      <c r="B5">
        <v>700</v>
      </c>
    </row>
    <row r="6" spans="1:9" x14ac:dyDescent="0.25">
      <c r="A6" t="s">
        <v>130</v>
      </c>
      <c r="B6">
        <v>1400</v>
      </c>
      <c r="I6" s="13">
        <v>1</v>
      </c>
    </row>
    <row r="7" spans="1:9" x14ac:dyDescent="0.25">
      <c r="A7" t="s">
        <v>131</v>
      </c>
      <c r="B7">
        <v>2800</v>
      </c>
      <c r="C7" t="s">
        <v>254</v>
      </c>
      <c r="I7" s="13">
        <v>1</v>
      </c>
    </row>
    <row r="8" spans="1:9" x14ac:dyDescent="0.25">
      <c r="A8" t="s">
        <v>132</v>
      </c>
      <c r="B8">
        <v>8400</v>
      </c>
      <c r="C8" t="s">
        <v>253</v>
      </c>
      <c r="I8" s="13">
        <v>2</v>
      </c>
    </row>
    <row r="9" spans="1:9" x14ac:dyDescent="0.25">
      <c r="A9" t="s">
        <v>198</v>
      </c>
      <c r="B9">
        <v>16800</v>
      </c>
      <c r="C9" t="s">
        <v>252</v>
      </c>
      <c r="I9" s="13">
        <v>1</v>
      </c>
    </row>
    <row r="10" spans="1:9" x14ac:dyDescent="0.25">
      <c r="A10" t="s">
        <v>199</v>
      </c>
      <c r="B10">
        <v>33600</v>
      </c>
      <c r="C10" t="s">
        <v>255</v>
      </c>
      <c r="I10" s="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51</vt:i4>
      </vt:variant>
    </vt:vector>
  </HeadingPairs>
  <TitlesOfParts>
    <vt:vector size="59" baseType="lpstr">
      <vt:lpstr>DATA</vt:lpstr>
      <vt:lpstr>Current</vt:lpstr>
      <vt:lpstr>NYC rev &amp; expense</vt:lpstr>
      <vt:lpstr>NYC Space</vt:lpstr>
      <vt:lpstr>working calculations</vt:lpstr>
      <vt:lpstr>QB operational drivers</vt:lpstr>
      <vt:lpstr>24-Jun-2020</vt:lpstr>
      <vt:lpstr>Big Picture Plan</vt:lpstr>
      <vt:lpstr>'NYC Space'!BASELINE_DRIVERS</vt:lpstr>
      <vt:lpstr>Current!Baseline_input</vt:lpstr>
      <vt:lpstr>'NYC rev &amp; expense'!Baseline_input</vt:lpstr>
      <vt:lpstr>'NYC Space'!Baseline_input</vt:lpstr>
      <vt:lpstr>Baseline_input</vt:lpstr>
      <vt:lpstr>Current!Baseline_Variables</vt:lpstr>
      <vt:lpstr>'NYC rev &amp; expense'!Baseline_Variables</vt:lpstr>
      <vt:lpstr>'NYC Space'!Baseline_Variables</vt:lpstr>
      <vt:lpstr>Baseline_Variables</vt:lpstr>
      <vt:lpstr>Current!Model_Dates</vt:lpstr>
      <vt:lpstr>'NYC rev &amp; expense'!Model_Dates</vt:lpstr>
      <vt:lpstr>'NYC Space'!Model_Dates</vt:lpstr>
      <vt:lpstr>Model_Dates</vt:lpstr>
      <vt:lpstr>Current!Scenario1_deltas</vt:lpstr>
      <vt:lpstr>'NYC rev &amp; expense'!Scenario1_deltas</vt:lpstr>
      <vt:lpstr>'NYC Space'!Scenario1_deltas</vt:lpstr>
      <vt:lpstr>Scenario1_deltas</vt:lpstr>
      <vt:lpstr>Current!Scenario1_Input</vt:lpstr>
      <vt:lpstr>'NYC Space'!Scenario1_Input</vt:lpstr>
      <vt:lpstr>Current!Scenario2_dates</vt:lpstr>
      <vt:lpstr>'NYC Space'!Scenario2_dates</vt:lpstr>
      <vt:lpstr>Current!Scenario2_deltas</vt:lpstr>
      <vt:lpstr>'NYC rev &amp; expense'!Scenario2_deltas</vt:lpstr>
      <vt:lpstr>'NYC Space'!Scenario2_deltas</vt:lpstr>
      <vt:lpstr>Scenario2_deltas</vt:lpstr>
      <vt:lpstr>Current!Scenario2_Inputs</vt:lpstr>
      <vt:lpstr>'NYC Space'!Scenario2_Inputs</vt:lpstr>
      <vt:lpstr>Current!Scenario2_Name</vt:lpstr>
      <vt:lpstr>'NYC Space'!Scenario2_Name</vt:lpstr>
      <vt:lpstr>Current!Scenario3_Dates</vt:lpstr>
      <vt:lpstr>'NYC rev &amp; expense'!Scenario3_Dates</vt:lpstr>
      <vt:lpstr>'NYC Space'!Scenario3_Dates</vt:lpstr>
      <vt:lpstr>Scenario3_Dates</vt:lpstr>
      <vt:lpstr>Current!Scenario3_deltas</vt:lpstr>
      <vt:lpstr>'NYC rev &amp; expense'!Scenario3_deltas</vt:lpstr>
      <vt:lpstr>'NYC Space'!Scenario3_deltas</vt:lpstr>
      <vt:lpstr>Scenario3_deltas</vt:lpstr>
      <vt:lpstr>Current!Scenario3_Inputs</vt:lpstr>
      <vt:lpstr>'NYC rev &amp; expense'!Scenario3_Inputs</vt:lpstr>
      <vt:lpstr>'NYC Space'!Scenario3_Inputs</vt:lpstr>
      <vt:lpstr>Scenario3_Inputs</vt:lpstr>
      <vt:lpstr>Current!Scenario3_name</vt:lpstr>
      <vt:lpstr>'NYC rev &amp; expense'!Scenario3_name</vt:lpstr>
      <vt:lpstr>'NYC Space'!Scenario3_name</vt:lpstr>
      <vt:lpstr>Scenario3_name</vt:lpstr>
      <vt:lpstr>Current!Switch_2</vt:lpstr>
      <vt:lpstr>'NYC Space'!Switch_2</vt:lpstr>
      <vt:lpstr>Current!Switch_3</vt:lpstr>
      <vt:lpstr>'NYC rev &amp; expense'!Switch_3</vt:lpstr>
      <vt:lpstr>'NYC Space'!Switch_3</vt:lpstr>
      <vt:lpstr>Switch_3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Princi</dc:creator>
  <cp:keywords/>
  <dc:description/>
  <cp:lastModifiedBy>Mike Princi</cp:lastModifiedBy>
  <dcterms:created xsi:type="dcterms:W3CDTF">2019-11-07T18:35:47Z</dcterms:created>
  <dcterms:modified xsi:type="dcterms:W3CDTF">2020-07-15T03:33:37Z</dcterms:modified>
  <cp:category/>
</cp:coreProperties>
</file>